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:\Friedrich Schiedel Fellowship\Kalkulation_allgemein\2026\"/>
    </mc:Choice>
  </mc:AlternateContent>
  <xr:revisionPtr revIDLastSave="0" documentId="13_ncr:1_{F58A2D91-CF94-4706-9EE4-9C5B56757591}" xr6:coauthVersionLast="47" xr6:coauthVersionMax="47" xr10:uidLastSave="{00000000-0000-0000-0000-000000000000}"/>
  <workbookProtection workbookAlgorithmName="SHA-512" workbookHashValue="WHYVU54nz3cp9Emm7M3v6lYNdxSf02BSsPxH/QhEhamQrW7539t10M1KzvmPVIrDZO2+ZecE0+R+q3ypx1+XSg==" workbookSaltValue="MQnSagKBXnufLlYCA8T3Kg==" workbookSpinCount="100000" lockStructure="1"/>
  <bookViews>
    <workbookView xWindow="-110" yWindow="-110" windowWidth="25820" windowHeight="13900" xr2:uid="{00000000-000D-0000-FFFF-FFFF00000000}"/>
  </bookViews>
  <sheets>
    <sheet name="Calculation" sheetId="1" r:id="rId1"/>
    <sheet name="Tabellengehälter" sheetId="2" state="hidden" r:id="rId2"/>
    <sheet name="Tabellengehälter_2025_1" sheetId="3" state="hidden" r:id="rId3"/>
    <sheet name="Example" sheetId="11" r:id="rId4"/>
    <sheet name="Stammdaten" sheetId="5" r:id="rId5"/>
    <sheet name="Tabellengehälter_2026" sheetId="6" r:id="rId6"/>
    <sheet name="Tabellengehälter_2027" sheetId="9" r:id="rId7"/>
    <sheet name="Tabellengehälter_2028" sheetId="10" r:id="rId8"/>
    <sheet name="Stundensätze" sheetId="8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2" roundtripDataChecksum="xwqQDe0Kwq8PHWZ99Pl9G1PGK98aHq2f1maa8kIXKzw="/>
    </ext>
  </extLst>
</workbook>
</file>

<file path=xl/calcChain.xml><?xml version="1.0" encoding="utf-8"?>
<calcChain xmlns="http://schemas.openxmlformats.org/spreadsheetml/2006/main">
  <c r="M25" i="1" l="1"/>
  <c r="B3" i="10" l="1"/>
  <c r="E10" i="9"/>
  <c r="D5" i="9"/>
  <c r="F14" i="9"/>
  <c r="B15" i="6"/>
  <c r="G15" i="6"/>
  <c r="G8" i="6"/>
  <c r="D12" i="6"/>
  <c r="D6" i="6"/>
  <c r="F80" i="11"/>
  <c r="F66" i="11"/>
  <c r="F52" i="11"/>
  <c r="F48" i="11"/>
  <c r="F47" i="11"/>
  <c r="F46" i="11"/>
  <c r="F45" i="11"/>
  <c r="F44" i="11"/>
  <c r="F43" i="11"/>
  <c r="F42" i="11"/>
  <c r="F41" i="11"/>
  <c r="F40" i="11"/>
  <c r="F38" i="11" s="1"/>
  <c r="F39" i="11"/>
  <c r="O31" i="11"/>
  <c r="L31" i="11" s="1"/>
  <c r="M31" i="11"/>
  <c r="K31" i="11"/>
  <c r="C31" i="11"/>
  <c r="O30" i="11"/>
  <c r="M30" i="11"/>
  <c r="L30" i="11"/>
  <c r="K30" i="11"/>
  <c r="J30" i="11"/>
  <c r="N30" i="11" s="1"/>
  <c r="C30" i="11"/>
  <c r="O29" i="11"/>
  <c r="J29" i="11" s="1"/>
  <c r="N29" i="11" s="1"/>
  <c r="M29" i="11"/>
  <c r="L29" i="11"/>
  <c r="K29" i="11"/>
  <c r="C29" i="11"/>
  <c r="O28" i="11"/>
  <c r="M28" i="11"/>
  <c r="L28" i="11"/>
  <c r="K28" i="11"/>
  <c r="J28" i="11"/>
  <c r="N28" i="11" s="1"/>
  <c r="C28" i="11"/>
  <c r="O27" i="11"/>
  <c r="L27" i="11" s="1"/>
  <c r="M27" i="11"/>
  <c r="K27" i="11"/>
  <c r="J27" i="11"/>
  <c r="N27" i="11" s="1"/>
  <c r="C27" i="11"/>
  <c r="O26" i="11"/>
  <c r="N26" i="11"/>
  <c r="M26" i="11"/>
  <c r="L26" i="11"/>
  <c r="K26" i="11"/>
  <c r="J26" i="11"/>
  <c r="C26" i="11"/>
  <c r="O25" i="11"/>
  <c r="J25" i="11" s="1"/>
  <c r="N25" i="11" s="1"/>
  <c r="L25" i="11"/>
  <c r="C25" i="11"/>
  <c r="C20" i="11"/>
  <c r="N20" i="11" s="1"/>
  <c r="L18" i="11"/>
  <c r="K18" i="11"/>
  <c r="J18" i="11"/>
  <c r="C18" i="11"/>
  <c r="M18" i="11" s="1"/>
  <c r="K11" i="11"/>
  <c r="I11" i="11"/>
  <c r="K10" i="11"/>
  <c r="I10" i="11"/>
  <c r="K9" i="11"/>
  <c r="I9" i="11"/>
  <c r="I8" i="11"/>
  <c r="I7" i="11"/>
  <c r="I6" i="11"/>
  <c r="B6" i="11"/>
  <c r="B5" i="11"/>
  <c r="A2" i="11"/>
  <c r="G15" i="10"/>
  <c r="F15" i="10"/>
  <c r="E15" i="10"/>
  <c r="D15" i="10"/>
  <c r="C15" i="10"/>
  <c r="B15" i="10"/>
  <c r="G14" i="10"/>
  <c r="F14" i="10"/>
  <c r="E14" i="10"/>
  <c r="D14" i="10"/>
  <c r="C14" i="10"/>
  <c r="B14" i="10"/>
  <c r="G13" i="10"/>
  <c r="F13" i="10"/>
  <c r="E13" i="10"/>
  <c r="D13" i="10"/>
  <c r="C13" i="10"/>
  <c r="B13" i="10"/>
  <c r="G12" i="10"/>
  <c r="F12" i="10"/>
  <c r="E12" i="10"/>
  <c r="D12" i="10"/>
  <c r="C12" i="10"/>
  <c r="B12" i="10"/>
  <c r="G11" i="10"/>
  <c r="F11" i="10"/>
  <c r="E11" i="10"/>
  <c r="D11" i="10"/>
  <c r="C11" i="10"/>
  <c r="B11" i="10"/>
  <c r="G10" i="10"/>
  <c r="F10" i="10"/>
  <c r="E10" i="10"/>
  <c r="D10" i="10"/>
  <c r="C10" i="10"/>
  <c r="B10" i="10"/>
  <c r="G9" i="10"/>
  <c r="F9" i="10"/>
  <c r="E9" i="10"/>
  <c r="D9" i="10"/>
  <c r="C9" i="10"/>
  <c r="B9" i="10"/>
  <c r="G8" i="10"/>
  <c r="F8" i="10"/>
  <c r="E8" i="10"/>
  <c r="D8" i="10"/>
  <c r="C8" i="10"/>
  <c r="B8" i="10"/>
  <c r="G7" i="10"/>
  <c r="F7" i="10"/>
  <c r="E7" i="10"/>
  <c r="D7" i="10"/>
  <c r="C7" i="10"/>
  <c r="B7" i="10"/>
  <c r="G6" i="10"/>
  <c r="F6" i="10"/>
  <c r="E6" i="10"/>
  <c r="D6" i="10"/>
  <c r="C6" i="10"/>
  <c r="G5" i="10"/>
  <c r="F5" i="10"/>
  <c r="E5" i="10"/>
  <c r="D5" i="10"/>
  <c r="C5" i="10"/>
  <c r="B5" i="10"/>
  <c r="G4" i="10"/>
  <c r="F4" i="10"/>
  <c r="E4" i="10"/>
  <c r="D4" i="10"/>
  <c r="C4" i="10"/>
  <c r="B4" i="10"/>
  <c r="F3" i="10"/>
  <c r="E3" i="10"/>
  <c r="D3" i="10"/>
  <c r="C3" i="10"/>
  <c r="G15" i="9"/>
  <c r="F15" i="9"/>
  <c r="E15" i="9"/>
  <c r="D15" i="9"/>
  <c r="C15" i="9"/>
  <c r="B15" i="9"/>
  <c r="G14" i="9"/>
  <c r="E14" i="9"/>
  <c r="D14" i="9"/>
  <c r="C14" i="9"/>
  <c r="B14" i="9"/>
  <c r="G13" i="9"/>
  <c r="F13" i="9"/>
  <c r="E13" i="9"/>
  <c r="D13" i="9"/>
  <c r="C13" i="9"/>
  <c r="B13" i="9"/>
  <c r="G12" i="9"/>
  <c r="F12" i="9"/>
  <c r="E12" i="9"/>
  <c r="D12" i="9"/>
  <c r="C12" i="9"/>
  <c r="B12" i="9"/>
  <c r="G11" i="9"/>
  <c r="F11" i="9"/>
  <c r="E11" i="9"/>
  <c r="D11" i="9"/>
  <c r="C11" i="9"/>
  <c r="B11" i="9"/>
  <c r="G10" i="9"/>
  <c r="F10" i="9"/>
  <c r="D10" i="9"/>
  <c r="C10" i="9"/>
  <c r="B10" i="9"/>
  <c r="B5" i="9"/>
  <c r="G9" i="9"/>
  <c r="F9" i="9"/>
  <c r="E9" i="9"/>
  <c r="D9" i="9"/>
  <c r="C9" i="9"/>
  <c r="B9" i="9"/>
  <c r="G8" i="9"/>
  <c r="F8" i="9"/>
  <c r="E8" i="9"/>
  <c r="D8" i="9"/>
  <c r="C8" i="9"/>
  <c r="B8" i="9"/>
  <c r="G6" i="9"/>
  <c r="F6" i="9"/>
  <c r="E6" i="9"/>
  <c r="D6" i="9"/>
  <c r="C6" i="9"/>
  <c r="G7" i="9"/>
  <c r="F7" i="9"/>
  <c r="E7" i="9"/>
  <c r="D7" i="9"/>
  <c r="C7" i="9"/>
  <c r="B7" i="9"/>
  <c r="G5" i="9"/>
  <c r="F5" i="9"/>
  <c r="E5" i="9"/>
  <c r="C5" i="9"/>
  <c r="G4" i="9"/>
  <c r="F4" i="9"/>
  <c r="E4" i="9"/>
  <c r="D4" i="9"/>
  <c r="C4" i="9"/>
  <c r="B4" i="9"/>
  <c r="F3" i="9"/>
  <c r="E3" i="9"/>
  <c r="D3" i="9"/>
  <c r="C3" i="9"/>
  <c r="B3" i="9"/>
  <c r="F15" i="6"/>
  <c r="E15" i="6"/>
  <c r="D15" i="6"/>
  <c r="C15" i="6"/>
  <c r="G14" i="6"/>
  <c r="F14" i="6"/>
  <c r="E14" i="6"/>
  <c r="D14" i="6"/>
  <c r="C14" i="6"/>
  <c r="B14" i="6"/>
  <c r="G13" i="6"/>
  <c r="F13" i="6"/>
  <c r="E13" i="6"/>
  <c r="D13" i="6"/>
  <c r="C13" i="6"/>
  <c r="B13" i="6"/>
  <c r="G12" i="6"/>
  <c r="F12" i="6"/>
  <c r="E12" i="6"/>
  <c r="C12" i="6"/>
  <c r="B12" i="6"/>
  <c r="G11" i="6"/>
  <c r="F11" i="6"/>
  <c r="E11" i="6"/>
  <c r="D11" i="6"/>
  <c r="C11" i="6"/>
  <c r="B11" i="6"/>
  <c r="G10" i="6"/>
  <c r="F10" i="6"/>
  <c r="E10" i="6"/>
  <c r="D10" i="6"/>
  <c r="C10" i="6"/>
  <c r="B10" i="6"/>
  <c r="G9" i="6"/>
  <c r="F9" i="6"/>
  <c r="E9" i="6"/>
  <c r="D9" i="6"/>
  <c r="C9" i="6"/>
  <c r="B9" i="6"/>
  <c r="F8" i="6"/>
  <c r="E8" i="6"/>
  <c r="D8" i="6"/>
  <c r="C8" i="6"/>
  <c r="B8" i="6"/>
  <c r="G7" i="6"/>
  <c r="F7" i="6"/>
  <c r="E7" i="6"/>
  <c r="D7" i="6"/>
  <c r="C7" i="6"/>
  <c r="B7" i="6"/>
  <c r="G6" i="6"/>
  <c r="F6" i="6"/>
  <c r="C6" i="6"/>
  <c r="G5" i="6"/>
  <c r="F5" i="6"/>
  <c r="E5" i="6"/>
  <c r="D5" i="6"/>
  <c r="C5" i="6"/>
  <c r="B5" i="6"/>
  <c r="G4" i="6"/>
  <c r="F4" i="6"/>
  <c r="E4" i="6"/>
  <c r="D4" i="6"/>
  <c r="C4" i="6"/>
  <c r="B4" i="6"/>
  <c r="F3" i="6"/>
  <c r="E3" i="6"/>
  <c r="D3" i="6"/>
  <c r="C3" i="6"/>
  <c r="B3" i="6"/>
  <c r="L18" i="1"/>
  <c r="N18" i="11" l="1"/>
  <c r="K6" i="11" s="1"/>
  <c r="N34" i="11"/>
  <c r="K8" i="11"/>
  <c r="J31" i="11"/>
  <c r="N31" i="11" s="1"/>
  <c r="N24" i="11" s="1"/>
  <c r="J18" i="1"/>
  <c r="B16" i="8"/>
  <c r="K7" i="11" l="1"/>
  <c r="N14" i="11"/>
  <c r="K5" i="11"/>
  <c r="K12" i="11" s="1"/>
  <c r="G43" i="8"/>
  <c r="F43" i="8"/>
  <c r="C43" i="8"/>
  <c r="B43" i="8"/>
  <c r="G42" i="8"/>
  <c r="F42" i="8"/>
  <c r="C42" i="8"/>
  <c r="B42" i="8"/>
  <c r="G41" i="8"/>
  <c r="F41" i="8"/>
  <c r="C41" i="8"/>
  <c r="B41" i="8"/>
  <c r="G40" i="8"/>
  <c r="F40" i="8"/>
  <c r="C40" i="8"/>
  <c r="B40" i="8"/>
  <c r="G39" i="8"/>
  <c r="F39" i="8"/>
  <c r="C39" i="8"/>
  <c r="B39" i="8"/>
  <c r="G38" i="8"/>
  <c r="F38" i="8"/>
  <c r="C38" i="8"/>
  <c r="B38" i="8"/>
  <c r="G37" i="8"/>
  <c r="F37" i="8"/>
  <c r="C37" i="8"/>
  <c r="B37" i="8"/>
  <c r="G36" i="8"/>
  <c r="F36" i="8"/>
  <c r="C36" i="8"/>
  <c r="B36" i="8"/>
  <c r="G35" i="8"/>
  <c r="F35" i="8"/>
  <c r="C35" i="8"/>
  <c r="B35" i="8"/>
  <c r="G34" i="8"/>
  <c r="F34" i="8"/>
  <c r="C34" i="8"/>
  <c r="B34" i="8"/>
  <c r="G33" i="8"/>
  <c r="F33" i="8"/>
  <c r="C33" i="8"/>
  <c r="B33" i="8"/>
  <c r="G32" i="8"/>
  <c r="F32" i="8"/>
  <c r="C32" i="8"/>
  <c r="B32" i="8"/>
  <c r="G31" i="8"/>
  <c r="F31" i="8"/>
  <c r="C31" i="8"/>
  <c r="B31" i="8"/>
  <c r="G30" i="8"/>
  <c r="F30" i="8"/>
  <c r="C30" i="8"/>
  <c r="B30" i="8"/>
  <c r="G29" i="8"/>
  <c r="F29" i="8"/>
  <c r="C29" i="8"/>
  <c r="B29" i="8"/>
  <c r="G28" i="8"/>
  <c r="F28" i="8"/>
  <c r="C28" i="8"/>
  <c r="B28" i="8"/>
  <c r="G27" i="8"/>
  <c r="F27" i="8"/>
  <c r="C27" i="8"/>
  <c r="B27" i="8"/>
  <c r="G26" i="8"/>
  <c r="F26" i="8"/>
  <c r="C26" i="8"/>
  <c r="B26" i="8"/>
  <c r="G25" i="8"/>
  <c r="F25" i="8"/>
  <c r="C25" i="8"/>
  <c r="B25" i="8"/>
  <c r="G24" i="8"/>
  <c r="F24" i="8"/>
  <c r="C24" i="8"/>
  <c r="B24" i="8"/>
  <c r="G23" i="8"/>
  <c r="F23" i="8"/>
  <c r="C23" i="8"/>
  <c r="B23" i="8"/>
  <c r="G22" i="8"/>
  <c r="F22" i="8"/>
  <c r="C22" i="8"/>
  <c r="B22" i="8"/>
  <c r="G21" i="8"/>
  <c r="F21" i="8"/>
  <c r="C21" i="8"/>
  <c r="B21" i="8"/>
  <c r="G20" i="8"/>
  <c r="F20" i="8"/>
  <c r="C20" i="8"/>
  <c r="B20" i="8"/>
  <c r="G19" i="8"/>
  <c r="F19" i="8"/>
  <c r="C19" i="8"/>
  <c r="B19" i="8"/>
  <c r="G18" i="8"/>
  <c r="F18" i="8"/>
  <c r="C18" i="8"/>
  <c r="B18" i="8"/>
  <c r="G17" i="8"/>
  <c r="F17" i="8"/>
  <c r="C17" i="8"/>
  <c r="B17" i="8"/>
  <c r="G16" i="8"/>
  <c r="F16" i="8"/>
  <c r="C16" i="8"/>
  <c r="G15" i="8"/>
  <c r="F15" i="8"/>
  <c r="C15" i="8"/>
  <c r="B15" i="8"/>
  <c r="G14" i="8"/>
  <c r="F14" i="8"/>
  <c r="C14" i="8"/>
  <c r="B14" i="8"/>
  <c r="G13" i="8"/>
  <c r="F13" i="8"/>
  <c r="C13" i="8"/>
  <c r="B13" i="8"/>
  <c r="G12" i="8"/>
  <c r="F12" i="8"/>
  <c r="C12" i="8"/>
  <c r="B12" i="8"/>
  <c r="G11" i="8"/>
  <c r="F11" i="8"/>
  <c r="C11" i="8"/>
  <c r="B11" i="8"/>
  <c r="G10" i="8"/>
  <c r="F10" i="8"/>
  <c r="C10" i="8"/>
  <c r="B10" i="8"/>
  <c r="G9" i="8"/>
  <c r="F9" i="8"/>
  <c r="C9" i="8"/>
  <c r="B9" i="8"/>
  <c r="G8" i="8"/>
  <c r="F8" i="8"/>
  <c r="C8" i="8"/>
  <c r="B8" i="8"/>
  <c r="G7" i="8"/>
  <c r="F7" i="8"/>
  <c r="C7" i="8"/>
  <c r="B7" i="8"/>
  <c r="G6" i="8"/>
  <c r="F6" i="8"/>
  <c r="C6" i="8"/>
  <c r="B6" i="8"/>
  <c r="G5" i="8"/>
  <c r="F5" i="8"/>
  <c r="C5" i="8"/>
  <c r="B5" i="8"/>
  <c r="F80" i="1"/>
  <c r="K11" i="1" s="1"/>
  <c r="F66" i="1"/>
  <c r="K10" i="1" s="1"/>
  <c r="F52" i="1"/>
  <c r="K9" i="1" s="1"/>
  <c r="F48" i="1"/>
  <c r="F47" i="1"/>
  <c r="F46" i="1"/>
  <c r="F45" i="1"/>
  <c r="F44" i="1"/>
  <c r="F43" i="1"/>
  <c r="F42" i="1"/>
  <c r="F41" i="1"/>
  <c r="F40" i="1"/>
  <c r="F39" i="1"/>
  <c r="F38" i="1" s="1"/>
  <c r="O31" i="1"/>
  <c r="L31" i="1" s="1"/>
  <c r="M31" i="1"/>
  <c r="K31" i="1"/>
  <c r="J31" i="1"/>
  <c r="C31" i="1"/>
  <c r="O30" i="1"/>
  <c r="L30" i="1" s="1"/>
  <c r="M30" i="1"/>
  <c r="K30" i="1"/>
  <c r="C30" i="1"/>
  <c r="O29" i="1"/>
  <c r="J29" i="1" s="1"/>
  <c r="M29" i="1"/>
  <c r="K29" i="1"/>
  <c r="C29" i="1"/>
  <c r="O28" i="1"/>
  <c r="L28" i="1" s="1"/>
  <c r="M28" i="1"/>
  <c r="K28" i="1"/>
  <c r="C28" i="1"/>
  <c r="O27" i="1"/>
  <c r="J27" i="1" s="1"/>
  <c r="M27" i="1"/>
  <c r="L27" i="1"/>
  <c r="K27" i="1"/>
  <c r="C27" i="1"/>
  <c r="O26" i="1"/>
  <c r="M26" i="1"/>
  <c r="L26" i="1"/>
  <c r="K26" i="1"/>
  <c r="J26" i="1"/>
  <c r="C26" i="1"/>
  <c r="O25" i="1"/>
  <c r="C25" i="1"/>
  <c r="K25" i="1" s="1"/>
  <c r="C20" i="1"/>
  <c r="N20" i="1" s="1"/>
  <c r="K18" i="1"/>
  <c r="C18" i="1"/>
  <c r="I11" i="1"/>
  <c r="I10" i="1"/>
  <c r="I9" i="1"/>
  <c r="I8" i="1"/>
  <c r="I7" i="1"/>
  <c r="I6" i="1"/>
  <c r="B6" i="1"/>
  <c r="B5" i="1"/>
  <c r="A2" i="1"/>
  <c r="L25" i="1" l="1"/>
  <c r="J25" i="1"/>
  <c r="N25" i="1" s="1"/>
  <c r="M18" i="1"/>
  <c r="N31" i="1"/>
  <c r="N27" i="1"/>
  <c r="N26" i="1"/>
  <c r="N34" i="1"/>
  <c r="K8" i="1"/>
  <c r="J30" i="1"/>
  <c r="N30" i="1" s="1"/>
  <c r="J28" i="1"/>
  <c r="N28" i="1" s="1"/>
  <c r="L29" i="1"/>
  <c r="N29" i="1" s="1"/>
  <c r="N24" i="1" l="1"/>
  <c r="K7" i="1" s="1"/>
  <c r="N18" i="1" l="1"/>
  <c r="N14" i="1" s="1"/>
  <c r="K6" i="1" l="1"/>
  <c r="K5" i="1" s="1"/>
  <c r="K1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4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======
ID#AAABnJ2e9dM
Ulrike Ehrhardt    (2025-07-08 22:00:20)
Choose from list</t>
        </r>
      </text>
    </comment>
    <comment ref="G17" authorId="0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======
ID#AAABnJ2e9ck
Ulrike Ehrhardt    (2025-07-08 22:00:20)
Ulrike Ehrhardt
According to your working contract</t>
        </r>
      </text>
    </comment>
    <comment ref="I17" authorId="0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======
ID#AAABnJ2e9cM
Ulrike Ehrhardt    (2025-07-08 22:00:20)
Please enter your desired individual upgrade percentage.</t>
        </r>
      </text>
    </comment>
    <comment ref="J17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======
ID#AAABnJ2e9dA
Ulrike Ehrhardt    (2025-07-08 22:00:20)
incl. Employers' share of social insurance and yearly bonus</t>
        </r>
      </text>
    </comment>
    <comment ref="L17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======
ID#AAABnJ2e9c4
Ulrike Ehrhardt    (2025-07-08 22:00:20)
incl. Employers' share of social insurance and yearly bonus</t>
        </r>
      </text>
    </comment>
    <comment ref="D19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======
ID#AAABnJ2e9dE
Ulrike Ehrhardt    (2025-07-08 22:00:20)
Monthly, before tax, in EUR
please include 50% of your social insurance fee</t>
        </r>
      </text>
    </comment>
    <comment ref="G19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======
ID#AAABnJ2e9cw
Ulrike Ehrhardt    (2025-07-08 22:00:20)
According to your working contract</t>
        </r>
      </text>
    </comment>
    <comment ref="F23" authorId="0" shapeId="0" xr:uid="{00000000-0006-0000-0000-000008000000}">
      <text>
        <r>
          <rPr>
            <sz val="11"/>
            <color theme="1"/>
            <rFont val="Calibri"/>
            <family val="2"/>
            <scheme val="minor"/>
          </rPr>
          <t>======
ID#AAABnJ2e9cc
Ulrike Ehrhardt    (2025-07-08 22:00:20)
If assistant works more than 8 hours/week Employers' share of social insurance will be added</t>
        </r>
      </text>
    </comment>
    <comment ref="J23" authorId="0" shapeId="0" xr:uid="{00000000-0006-0000-0000-000009000000}">
      <text>
        <r>
          <rPr>
            <sz val="11"/>
            <color theme="1"/>
            <rFont val="Calibri"/>
            <family val="2"/>
            <scheme val="minor"/>
          </rPr>
          <t>======
ID#AAABnJ2e9cU
Ulrike Ehrhardt    (2025-07-08 22:00:20)
If assistant works more than 8 hours/week Employers' share of social insurance will be added</t>
        </r>
      </text>
    </comment>
    <comment ref="L23" authorId="0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>======
ID#AAABnJ2e9cg
Ulrike Ehrhardt    (2025-07-08 22:00:20)
If assistant works more than 8 hours/week Employers' share of social insurance will be added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gfsu83uFmO96wkibzXN9BDgVfMiA=="/>
    </ext>
  </extL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4" authorId="0" shapeId="0" xr:uid="{67419D7E-EFEA-4A34-99CD-6ADA01A2B644}">
      <text>
        <r>
          <rPr>
            <sz val="11"/>
            <color theme="1"/>
            <rFont val="Calibri"/>
            <family val="2"/>
            <scheme val="minor"/>
          </rPr>
          <t>======
ID#AAABnJ2e9dM
Ulrike Ehrhardt    (2025-07-08 22:00:20)
Choose from list</t>
        </r>
      </text>
    </comment>
    <comment ref="G17" authorId="0" shapeId="0" xr:uid="{7508A4DB-26AE-4AFE-88BF-24E315E6A440}">
      <text>
        <r>
          <rPr>
            <sz val="11"/>
            <color theme="1"/>
            <rFont val="Calibri"/>
            <family val="2"/>
            <scheme val="minor"/>
          </rPr>
          <t>======
ID#AAABnJ2e9ck
Ulrike Ehrhardt    (2025-07-08 22:00:20)
Ulrike Ehrhardt
According to your working contract</t>
        </r>
      </text>
    </comment>
    <comment ref="I17" authorId="0" shapeId="0" xr:uid="{2B9EAFF3-5181-4083-96A8-C2B6333D15AA}">
      <text>
        <r>
          <rPr>
            <sz val="11"/>
            <color theme="1"/>
            <rFont val="Calibri"/>
            <family val="2"/>
            <scheme val="minor"/>
          </rPr>
          <t>======
ID#AAABnJ2e9cM
Ulrike Ehrhardt    (2025-07-08 22:00:20)
Please enter your desired individual upgrade percentage.</t>
        </r>
      </text>
    </comment>
    <comment ref="J17" authorId="0" shapeId="0" xr:uid="{E7243DC0-C9E6-4E4A-83D6-3C7351740BCF}">
      <text>
        <r>
          <rPr>
            <sz val="11"/>
            <color theme="1"/>
            <rFont val="Calibri"/>
            <family val="2"/>
            <scheme val="minor"/>
          </rPr>
          <t>======
ID#AAABnJ2e9dA
Ulrike Ehrhardt    (2025-07-08 22:00:20)
incl. Employers' share of social insurance and yearly bonus</t>
        </r>
      </text>
    </comment>
    <comment ref="L17" authorId="0" shapeId="0" xr:uid="{8150A26E-49AE-4AF4-81A3-1712F5BA8A10}">
      <text>
        <r>
          <rPr>
            <sz val="11"/>
            <color theme="1"/>
            <rFont val="Calibri"/>
            <family val="2"/>
            <scheme val="minor"/>
          </rPr>
          <t>======
ID#AAABnJ2e9c4
Ulrike Ehrhardt    (2025-07-08 22:00:20)
incl. Employers' share of social insurance and yearly bonus</t>
        </r>
      </text>
    </comment>
    <comment ref="D19" authorId="0" shapeId="0" xr:uid="{C9EE502A-1D7E-4B61-88CE-3E78F7BBBBFD}">
      <text>
        <r>
          <rPr>
            <sz val="11"/>
            <color theme="1"/>
            <rFont val="Calibri"/>
            <family val="2"/>
            <scheme val="minor"/>
          </rPr>
          <t>======
ID#AAABnJ2e9dE
Ulrike Ehrhardt    (2025-07-08 22:00:20)
Monthly, before tax, in EUR
please include 50% of your social insurance fee</t>
        </r>
      </text>
    </comment>
    <comment ref="G19" authorId="0" shapeId="0" xr:uid="{CB0377BA-119A-4CA1-95D9-29F055126A79}">
      <text>
        <r>
          <rPr>
            <sz val="11"/>
            <color theme="1"/>
            <rFont val="Calibri"/>
            <family val="2"/>
            <scheme val="minor"/>
          </rPr>
          <t>======
ID#AAABnJ2e9cw
Ulrike Ehrhardt    (2025-07-08 22:00:20)
According to your working contract</t>
        </r>
      </text>
    </comment>
    <comment ref="F23" authorId="0" shapeId="0" xr:uid="{E909D6B7-E348-4488-862D-92F38F5E35B0}">
      <text>
        <r>
          <rPr>
            <sz val="11"/>
            <color theme="1"/>
            <rFont val="Calibri"/>
            <family val="2"/>
            <scheme val="minor"/>
          </rPr>
          <t>======
ID#AAABnJ2e9cc
Ulrike Ehrhardt    (2025-07-08 22:00:20)
If assistant works more than 8 hours/week Employers' share of social insurance will be added</t>
        </r>
      </text>
    </comment>
    <comment ref="J23" authorId="0" shapeId="0" xr:uid="{56B590BA-537E-47BA-854C-80993642AFDD}">
      <text>
        <r>
          <rPr>
            <sz val="11"/>
            <color theme="1"/>
            <rFont val="Calibri"/>
            <family val="2"/>
            <scheme val="minor"/>
          </rPr>
          <t>======
ID#AAABnJ2e9cU
Ulrike Ehrhardt    (2025-07-08 22:00:20)
If assistant works more than 8 hours/week Employers' share of social insurance will be added</t>
        </r>
      </text>
    </comment>
    <comment ref="L23" authorId="0" shapeId="0" xr:uid="{B873C07C-7803-4DF7-BDB4-904B059B1B9D}">
      <text>
        <r>
          <rPr>
            <sz val="11"/>
            <color theme="1"/>
            <rFont val="Calibri"/>
            <family val="2"/>
            <scheme val="minor"/>
          </rPr>
          <t>======
ID#AAABnJ2e9cg
Ulrike Ehrhardt    (2025-07-08 22:00:20)
If assistant works more than 8 hours/week Employers' share of social insurance will be added</t>
        </r>
      </text>
    </comment>
  </commentList>
</comments>
</file>

<file path=xl/sharedStrings.xml><?xml version="1.0" encoding="utf-8"?>
<sst xmlns="http://schemas.openxmlformats.org/spreadsheetml/2006/main" count="476" uniqueCount="267">
  <si>
    <t>Financial summary</t>
  </si>
  <si>
    <t>Fellow Name</t>
  </si>
  <si>
    <t>Total grant</t>
  </si>
  <si>
    <t>Please fill in the yellow data fields</t>
  </si>
  <si>
    <t>Unique Identifier</t>
  </si>
  <si>
    <t>Budget used</t>
  </si>
  <si>
    <t>Name of Project</t>
  </si>
  <si>
    <t>Budget available</t>
  </si>
  <si>
    <t>A. Calculation of HR expenditures</t>
  </si>
  <si>
    <t>Total HR expenditures</t>
  </si>
  <si>
    <t>Info</t>
  </si>
  <si>
    <r>
      <rPr>
        <b/>
        <sz val="14"/>
        <color theme="1"/>
        <rFont val="Calibri"/>
        <family val="2"/>
      </rPr>
      <t xml:space="preserve">A1. Salary upgrade </t>
    </r>
    <r>
      <rPr>
        <sz val="11"/>
        <color theme="1"/>
        <rFont val="Calibri"/>
        <family val="2"/>
      </rPr>
      <t>(fill in 1st line for TUM employees, or 2nd line for fellows outside TUM)</t>
    </r>
  </si>
  <si>
    <t>Starting date
(tt.mm.yyyy)</t>
  </si>
  <si>
    <t>Ending date (tt.mm.yyyy)</t>
  </si>
  <si>
    <t>Months</t>
  </si>
  <si>
    <r>
      <rPr>
        <sz val="11"/>
        <color theme="1"/>
        <rFont val="Calibri"/>
        <family val="2"/>
      </rPr>
      <t xml:space="preserve">Individual salary group </t>
    </r>
    <r>
      <rPr>
        <b/>
        <sz val="11"/>
        <color theme="1"/>
        <rFont val="Calibri"/>
        <family val="2"/>
      </rPr>
      <t>(TUM)</t>
    </r>
    <r>
      <rPr>
        <sz val="11"/>
        <color theme="1"/>
        <rFont val="Calibri"/>
        <family val="2"/>
      </rPr>
      <t xml:space="preserve">
(choose from list)</t>
    </r>
  </si>
  <si>
    <t>Individual level of experience
(choose from list)</t>
  </si>
  <si>
    <t>Individual workshare</t>
  </si>
  <si>
    <t>Upgrade-percentage</t>
  </si>
  <si>
    <t>Months1</t>
  </si>
  <si>
    <t>Months2</t>
  </si>
  <si>
    <t>Fellows with a contract less than 100% can use the fellowship to temporarily upgrade their salary. If fellows already have a 100% contract, we cannot pay individual stipends or other types of working contracts. To check this, please state your individual work share.</t>
  </si>
  <si>
    <r>
      <rPr>
        <sz val="11"/>
        <color theme="1"/>
        <rFont val="Calibri"/>
        <family val="2"/>
      </rPr>
      <t xml:space="preserve">Individual salary
</t>
    </r>
    <r>
      <rPr>
        <b/>
        <sz val="11"/>
        <color theme="1"/>
        <rFont val="Calibri"/>
        <family val="2"/>
      </rPr>
      <t xml:space="preserve">(non-TUM)
</t>
    </r>
    <r>
      <rPr>
        <sz val="11"/>
        <color theme="1"/>
        <rFont val="Calibri"/>
        <family val="2"/>
      </rPr>
      <t>in EUR/month</t>
    </r>
  </si>
  <si>
    <t>A2. Student assistants</t>
  </si>
  <si>
    <t>BA / no degree
(choose from list)</t>
  </si>
  <si>
    <t>Weekly working hours</t>
  </si>
  <si>
    <t>Name of assistant (if available)</t>
  </si>
  <si>
    <t>Student assistants will be paid the standard TUM rates. For contracts with a weekly workload &gt; 8 hours, social insurance fees apply.
This is considered in the calculated values.</t>
  </si>
  <si>
    <t>B. Calculation of non-HR expenditures</t>
  </si>
  <si>
    <t>Total non-HR expenditures</t>
  </si>
  <si>
    <t>B1. Infrastructure</t>
  </si>
  <si>
    <t>Description</t>
  </si>
  <si>
    <t>Price per item / EUR</t>
  </si>
  <si>
    <t>pieces</t>
  </si>
  <si>
    <t>Fellows Comments</t>
  </si>
  <si>
    <r>
      <rPr>
        <b/>
        <sz val="14"/>
        <color theme="1"/>
        <rFont val="Calibri"/>
        <family val="2"/>
      </rPr>
      <t xml:space="preserve">B2. Workshops &amp; Events </t>
    </r>
    <r>
      <rPr>
        <sz val="11"/>
        <color theme="1"/>
        <rFont val="Calibri"/>
        <family val="2"/>
      </rPr>
      <t>(organized by the fellow)</t>
    </r>
  </si>
  <si>
    <t>Price in EUR</t>
  </si>
  <si>
    <t>Kick-off Workshop</t>
  </si>
  <si>
    <t>Final event</t>
  </si>
  <si>
    <r>
      <rPr>
        <b/>
        <sz val="14"/>
        <color theme="1"/>
        <rFont val="Calibri"/>
        <family val="2"/>
      </rPr>
      <t xml:space="preserve">B3. Travel costs </t>
    </r>
    <r>
      <rPr>
        <sz val="11"/>
        <color theme="1"/>
        <rFont val="Calibri"/>
        <family val="2"/>
      </rPr>
      <t>(conferences, workshops visited by the fellow)</t>
    </r>
  </si>
  <si>
    <t>The relevant travel costs can be reimbursed according to the rules of BayRKG (Bayerisches Reisekostengesetz):
That means:
train tickets second class
flight tickets economy
public transport
hotel costs up to 90 /120 EUR (small city / big city)
Uber or taxis only when public transport is not available
Please state the unique identifier of your project and / or your name when ordering!
This enables the correct accounting of your project costs.</t>
  </si>
  <si>
    <t>B4. Other costs</t>
  </si>
  <si>
    <t>Entgelttabelle TV-L 2024 (bis 31.10.2024, inkl. AG-Anteil 26,44%)</t>
  </si>
  <si>
    <t>Jahressonderzahlung TV-L</t>
  </si>
  <si>
    <t>€</t>
  </si>
  <si>
    <t>E 15Ü</t>
  </si>
  <si>
    <t>E 15</t>
  </si>
  <si>
    <t>E 14 bis E 15</t>
  </si>
  <si>
    <t>E 14</t>
  </si>
  <si>
    <t>E 12 bis E 13</t>
  </si>
  <si>
    <t>E 13Ü</t>
  </si>
  <si>
    <t>E 9a bis E 11</t>
  </si>
  <si>
    <t>E 13</t>
  </si>
  <si>
    <t>E 5 bis E 8</t>
  </si>
  <si>
    <t>E 12</t>
  </si>
  <si>
    <t>E 1 bis E 4</t>
  </si>
  <si>
    <t>E 11</t>
  </si>
  <si>
    <t>E 10</t>
  </si>
  <si>
    <t>E 9b</t>
  </si>
  <si>
    <t>E 9a</t>
  </si>
  <si>
    <t>E 8</t>
  </si>
  <si>
    <t>E 7</t>
  </si>
  <si>
    <t>E 6</t>
  </si>
  <si>
    <t>Entgelttabelle TV-L 2025 (ab 01.11.2024 bis 31.01.2025, inkl. AG-Anteil 30% und JSZ)</t>
  </si>
  <si>
    <t>E15Ü</t>
  </si>
  <si>
    <t>E15</t>
  </si>
  <si>
    <t>E14</t>
  </si>
  <si>
    <t>E13Ü</t>
  </si>
  <si>
    <t>E13</t>
  </si>
  <si>
    <t>E12</t>
  </si>
  <si>
    <t>E11</t>
  </si>
  <si>
    <t>E10</t>
  </si>
  <si>
    <t>E9b</t>
  </si>
  <si>
    <t>E9a</t>
  </si>
  <si>
    <t>E8</t>
  </si>
  <si>
    <t>no degree</t>
  </si>
  <si>
    <t>Beschäftigungsarten</t>
  </si>
  <si>
    <t>Konto</t>
  </si>
  <si>
    <t>Kostenart</t>
  </si>
  <si>
    <t>Stellenbewertungen</t>
  </si>
  <si>
    <t>Prüfungsergebnis HfP</t>
  </si>
  <si>
    <t>wissenschaftlicher Mitarbeiter</t>
  </si>
  <si>
    <t>42801(01)</t>
  </si>
  <si>
    <t>E5</t>
  </si>
  <si>
    <t>Die Planstelle ist verfügbar, damit ist die Finanzierung gewährleistet</t>
  </si>
  <si>
    <t>Nicht-wissenschaftlicher Mitarbeiter</t>
  </si>
  <si>
    <t>42801(02)</t>
  </si>
  <si>
    <t>E6</t>
  </si>
  <si>
    <t>Der Planstellenanteil ist verfügbar, damit ist die Finanzierung gewährleistet</t>
  </si>
  <si>
    <t>Studentische Hilfskraft</t>
  </si>
  <si>
    <t>42801(03)</t>
  </si>
  <si>
    <t>E7</t>
  </si>
  <si>
    <t>Die Finanzierung ist nicht gewährleistet, weil die Planstelle/der Planstellenanteil nicht verfügbar ist</t>
  </si>
  <si>
    <t>E-Scout/Tutor</t>
  </si>
  <si>
    <t>Die Finanzierung ist gewährleistet, da der verfügbare Haushaltsansatz ausreichend ist.</t>
  </si>
  <si>
    <t>42896(01)</t>
  </si>
  <si>
    <t>Die Finanzierung ist nicht gewährleistet, da der verfügbare Haushaltsansatz nicht ausreichend ist.</t>
  </si>
  <si>
    <t>Professuren</t>
  </si>
  <si>
    <t>42896(02)</t>
  </si>
  <si>
    <t>European and Global Governance (Conceicao-Heldt)</t>
  </si>
  <si>
    <t>42896(03)</t>
  </si>
  <si>
    <t>International Relations (Büthe)</t>
  </si>
  <si>
    <t>Professoren</t>
  </si>
  <si>
    <t>Varianten verfügbares Budget</t>
  </si>
  <si>
    <t>Political Data Science (Hegelich)</t>
  </si>
  <si>
    <t>Prof. Dr. Eugénia da Conceição-Heldt</t>
  </si>
  <si>
    <t>Variante 1</t>
  </si>
  <si>
    <t>Political Philosophy and Theory (Ulbricht komm.)</t>
  </si>
  <si>
    <t>Prof. Dr. Tim Büthe</t>
  </si>
  <si>
    <t>Variante 2</t>
  </si>
  <si>
    <t>Computational Social Science (Pfeffer)</t>
  </si>
  <si>
    <t>Prof. Dr. Simon Hegelich</t>
  </si>
  <si>
    <t>Variante 3</t>
  </si>
  <si>
    <t>Environmental and Climate Policy (Schreurs)</t>
  </si>
  <si>
    <t>Prof. Dr. Lena Ulbricht</t>
  </si>
  <si>
    <t>Variante 4</t>
  </si>
  <si>
    <t>Policy Analysis (Wurster)</t>
  </si>
  <si>
    <t>Prof. Dr. Jürgen Pfeffer</t>
  </si>
  <si>
    <t>Global Health (Steinert)</t>
  </si>
  <si>
    <t>Prof. Dr. Miranda Schreurs</t>
  </si>
  <si>
    <t>International Political Economy (Sebö komm.)</t>
  </si>
  <si>
    <t>Prof. Dr. Stefan Wurster</t>
  </si>
  <si>
    <t>W1</t>
  </si>
  <si>
    <t>Politics of Finance (Pond)</t>
  </si>
  <si>
    <t>Prof. Dr. Janina Steinert</t>
  </si>
  <si>
    <t>W2</t>
  </si>
  <si>
    <t>Global Security &amp; Technology (Paula)</t>
  </si>
  <si>
    <t>Prof. Dr. Mariana Sebö</t>
  </si>
  <si>
    <t>W2 TT</t>
  </si>
  <si>
    <t>Digital Governance (Theocharis)</t>
  </si>
  <si>
    <t>Prof. Dr. Amy Pond</t>
  </si>
  <si>
    <t>W3</t>
  </si>
  <si>
    <t>Public Policy, Governance and Innovative Technology (Gasser)</t>
  </si>
  <si>
    <t>Prof. Dr. Katrin Paula</t>
  </si>
  <si>
    <t>TUM Think Tank</t>
  </si>
  <si>
    <t>Prof. Dr. Ioannis Theocharis</t>
  </si>
  <si>
    <t>Verwaltung</t>
  </si>
  <si>
    <t>Prof. Dr. Urs Gasser</t>
  </si>
  <si>
    <t>Stufen</t>
  </si>
  <si>
    <t>Kostenstelle</t>
  </si>
  <si>
    <t>Kostenstellenbezeichnung</t>
  </si>
  <si>
    <t>XHP0091000</t>
  </si>
  <si>
    <t>Hochschulleitung</t>
  </si>
  <si>
    <t>XHP0092000</t>
  </si>
  <si>
    <t>Bibliothek</t>
  </si>
  <si>
    <t>XHP0093000</t>
  </si>
  <si>
    <t>Verwaltung allgemein</t>
  </si>
  <si>
    <t>XHP0094000</t>
  </si>
  <si>
    <t>IT</t>
  </si>
  <si>
    <t>XHP0095000</t>
  </si>
  <si>
    <t>ÖAR/Marketing</t>
  </si>
  <si>
    <t>XHP0096000</t>
  </si>
  <si>
    <t>Studienzuschüsse</t>
  </si>
  <si>
    <t>XHP0099001</t>
  </si>
  <si>
    <t>Sozverspflicht</t>
  </si>
  <si>
    <t>XHP0990101</t>
  </si>
  <si>
    <t>HfP Seed Funds</t>
  </si>
  <si>
    <t>ja</t>
  </si>
  <si>
    <t>XHP0099002</t>
  </si>
  <si>
    <t>nein</t>
  </si>
  <si>
    <t>XHP0990201</t>
  </si>
  <si>
    <t>XHP0099003</t>
  </si>
  <si>
    <t>Drittmittel</t>
  </si>
  <si>
    <t>XHP0099004</t>
  </si>
  <si>
    <t>Drittmittel TUM-SOT</t>
  </si>
  <si>
    <t>XHP0099005</t>
  </si>
  <si>
    <t>Drittmittel HfP</t>
  </si>
  <si>
    <t>XHP0099006</t>
  </si>
  <si>
    <t>XHP0990601</t>
  </si>
  <si>
    <t>BA / no degree</t>
  </si>
  <si>
    <t>XHP0099007</t>
  </si>
  <si>
    <t>BA</t>
  </si>
  <si>
    <t>XHP0097001</t>
  </si>
  <si>
    <t>Spenden allgemein</t>
  </si>
  <si>
    <t>XHP0097002</t>
  </si>
  <si>
    <t>Spenden Freundesgesellschaft</t>
  </si>
  <si>
    <t>XHP0097003</t>
  </si>
  <si>
    <t>Spenden ECH</t>
  </si>
  <si>
    <t>Fellow name</t>
  </si>
  <si>
    <t>Unique identifier</t>
  </si>
  <si>
    <t>Projekt name</t>
  </si>
  <si>
    <t>XHP0097004</t>
  </si>
  <si>
    <t>Spenden Schreurs</t>
  </si>
  <si>
    <t>XHP0099008</t>
  </si>
  <si>
    <t>XHP0099009</t>
  </si>
  <si>
    <t>XHP0099010</t>
  </si>
  <si>
    <t>XHP0099011</t>
  </si>
  <si>
    <t>XHP0099012</t>
  </si>
  <si>
    <t>XHP0991201</t>
  </si>
  <si>
    <t>XHP0098001</t>
  </si>
  <si>
    <t>TUM Think Tank Professur</t>
  </si>
  <si>
    <t>XHP0098002</t>
  </si>
  <si>
    <t>TUM Think Tank Geschäftsstelle</t>
  </si>
  <si>
    <t>XHP0098003</t>
  </si>
  <si>
    <t>TUM Think Tank Professionelle Weiterbildung</t>
  </si>
  <si>
    <t>XHP0091001</t>
  </si>
  <si>
    <t>Zeitschrift</t>
  </si>
  <si>
    <t>Wochen im Monat</t>
  </si>
  <si>
    <t>ggf noch 9,3% Zuschlag dazu rechnen!</t>
  </si>
  <si>
    <t>Beschäftigung in Wochenstunden</t>
  </si>
  <si>
    <t>BA/MA</t>
  </si>
  <si>
    <t>assumption</t>
  </si>
  <si>
    <t>Friedrich-Schiedel-Fellowship 2026 - Cohort #3</t>
  </si>
  <si>
    <t>ab 01.04.2027</t>
  </si>
  <si>
    <t>01.04.2026 bis 31.03.2027</t>
  </si>
  <si>
    <t>Entgelttabelle TV-L 2026 (ab 01.04.2026, inkl. AG-Anteil 30%)</t>
  </si>
  <si>
    <t>monthly Salary
(100% until 02.2027)</t>
  </si>
  <si>
    <t>monthly Salary
(100%, from 03/27)</t>
  </si>
  <si>
    <t>Entgelttabelle TV-L 2027 (01.03.2027 - 31.12.2027, inkl. AG-Anteil 30%)</t>
  </si>
  <si>
    <t>monthly Salary
(04/2026 until 03/2027)</t>
  </si>
  <si>
    <t>monthly Salary
(04/2027)</t>
  </si>
  <si>
    <t>Laptop</t>
  </si>
  <si>
    <r>
      <t xml:space="preserve">If you buy equipment, such as hardware or software, please make sure, that adressee of the invoice is
</t>
    </r>
    <r>
      <rPr>
        <b/>
        <sz val="11"/>
        <color theme="1"/>
        <rFont val="Calibri"/>
        <family val="2"/>
      </rPr>
      <t>Technical University Munich</t>
    </r>
    <r>
      <rPr>
        <sz val="11"/>
        <color theme="1"/>
        <rFont val="Calibri"/>
        <family val="2"/>
      </rPr>
      <t xml:space="preserve">
Chair / Professorship
Street and Number (of Chair / Professorship)
Zip City
Germany
Please state the unique identifier of your project and / or your name when ordering!
This enables the correct accounting of your project costs.</t>
    </r>
  </si>
  <si>
    <r>
      <t xml:space="preserve">If you order services, such as catering, please make sure, that adressee of the invoice is
</t>
    </r>
    <r>
      <rPr>
        <b/>
        <sz val="11"/>
        <color theme="1"/>
        <rFont val="Calibri"/>
        <family val="2"/>
      </rPr>
      <t>Technical University Munich</t>
    </r>
    <r>
      <rPr>
        <sz val="11"/>
        <color theme="1"/>
        <rFont val="Calibri"/>
        <family val="2"/>
      </rPr>
      <t xml:space="preserve">
Chair / Professorship
Street and Number (of Chair / Professorship)
Zip City
Germany
Please state the unique identifier of your project and / or your name when ordering!
This enables the correct accounting of your project costs.</t>
    </r>
  </si>
  <si>
    <t>Bisoyi, Akanksha</t>
  </si>
  <si>
    <t>FSF301</t>
  </si>
  <si>
    <t>Busch, Felix</t>
  </si>
  <si>
    <t>FSF302</t>
  </si>
  <si>
    <t>Erhart</t>
  </si>
  <si>
    <t>Erhart, Andreas</t>
  </si>
  <si>
    <t>FSF303</t>
  </si>
  <si>
    <t>Fauth, Judith</t>
  </si>
  <si>
    <t>FSF304</t>
  </si>
  <si>
    <t>Hurtado</t>
  </si>
  <si>
    <t>FSF305</t>
  </si>
  <si>
    <t>Hurtado, Santiago</t>
  </si>
  <si>
    <t>Kurz, Felix</t>
  </si>
  <si>
    <t>FSF306</t>
  </si>
  <si>
    <t>Lau, Carrie</t>
  </si>
  <si>
    <t>FSF307</t>
  </si>
  <si>
    <t>Marco, Fabienne</t>
  </si>
  <si>
    <t>FSF308</t>
  </si>
  <si>
    <t>Narayanan, Santhanakrishnan</t>
  </si>
  <si>
    <t>FSF309</t>
  </si>
  <si>
    <t>FSF310</t>
  </si>
  <si>
    <t>Williams, Richard</t>
  </si>
  <si>
    <t>Bisoyi</t>
  </si>
  <si>
    <t>Akanksha</t>
  </si>
  <si>
    <t>Busch</t>
  </si>
  <si>
    <t>Felix</t>
  </si>
  <si>
    <t>Andreas</t>
  </si>
  <si>
    <t>Fauth</t>
  </si>
  <si>
    <t>Judith</t>
  </si>
  <si>
    <t>Santiago</t>
  </si>
  <si>
    <t>Kurz</t>
  </si>
  <si>
    <t>Lau</t>
  </si>
  <si>
    <t>Carrie</t>
  </si>
  <si>
    <t>Marco</t>
  </si>
  <si>
    <t>Fabienne</t>
  </si>
  <si>
    <t>Narayanan</t>
  </si>
  <si>
    <t>Williams</t>
  </si>
  <si>
    <t>Richard</t>
  </si>
  <si>
    <t>Business Travel</t>
  </si>
  <si>
    <t>Santhanakrish</t>
  </si>
  <si>
    <t>Entgelttabelle TV-L 2028 (ab 01.01.2028 - 31.01.2028, inkl. AG-Anteil 30%)</t>
  </si>
  <si>
    <t>A. Calculation of HR</t>
  </si>
  <si>
    <t>Visions of Justice and Space</t>
  </si>
  <si>
    <t>EasyRad: Empowering Patients Through Trustworthy AI Communication in Radiology</t>
  </si>
  <si>
    <t>Particle Detectors as Knowledge Production Practices</t>
  </si>
  <si>
    <t>PARTicipation and Public Engagement in Digital Building PERMIT Processes</t>
  </si>
  <si>
    <t>Tinkering with Algorithms: Supporting Youth Agency in Opaque Social Media Risks</t>
  </si>
  <si>
    <t>Ecosystem Dashboard for Responsible Innovation Governance in Munich</t>
  </si>
  <si>
    <t>AI in the Room: Identity, Influence, and Shared Meaning</t>
  </si>
  <si>
    <t>ReQuant – Indexing Agency &amp; Potential on the Path from AI to QAI</t>
  </si>
  <si>
    <t>Fairness in Metropolitan Transport Networks: AI-Driven Graph Analysis of European Cities (FAIR-NET)</t>
  </si>
  <si>
    <t>Democratic Governance of Transformative Research: Trust, Pluralism, and AI Infrastructures</t>
  </si>
  <si>
    <t>00.00.0000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</si>
</sst>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scheme val="minor"/>
    </font>
    <font>
      <b/>
      <sz val="14"/>
      <color theme="1"/>
      <name val="Calibri"/>
      <family val="2"/>
    </font>
    <font>
      <sz val="9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4"/>
      <color theme="0"/>
      <name val="Calibri"/>
      <family val="2"/>
    </font>
    <font>
      <sz val="11"/>
      <color theme="0"/>
      <name val="Calibri"/>
      <family val="2"/>
    </font>
    <font>
      <b/>
      <sz val="11"/>
      <color theme="0"/>
      <name val="Calibri"/>
      <family val="2"/>
    </font>
    <font>
      <i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rgb="FF000000"/>
      <name val="Aptos"/>
      <family val="2"/>
    </font>
    <font>
      <sz val="11"/>
      <color rgb="FFFF0000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8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CC"/>
        <bgColor rgb="FFFFFFCC"/>
      </patternFill>
    </fill>
    <fill>
      <patternFill patternType="solid">
        <fgColor rgb="FFBDD6EE"/>
        <bgColor rgb="FFBDD6EE"/>
      </patternFill>
    </fill>
    <fill>
      <patternFill patternType="solid">
        <fgColor rgb="FF002060"/>
        <bgColor rgb="FF002060"/>
      </patternFill>
    </fill>
    <fill>
      <patternFill patternType="solid">
        <fgColor rgb="FFCCFFCC"/>
        <bgColor rgb="FFCCFFCC"/>
      </patternFill>
    </fill>
    <fill>
      <patternFill patternType="solid">
        <fgColor rgb="FF9CC2E5"/>
        <bgColor rgb="FF9CC2E5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/>
      <diagonal/>
    </border>
  </borders>
  <cellStyleXfs count="1">
    <xf numFmtId="0" fontId="0" fillId="0" borderId="0"/>
  </cellStyleXfs>
  <cellXfs count="163">
    <xf numFmtId="0" fontId="0" fillId="0" borderId="0" xfId="0"/>
    <xf numFmtId="0" fontId="1" fillId="0" borderId="0" xfId="0" applyFont="1"/>
    <xf numFmtId="0" fontId="2" fillId="0" borderId="0" xfId="0" applyFont="1"/>
    <xf numFmtId="0" fontId="4" fillId="2" borderId="1" xfId="0" applyFont="1" applyFill="1" applyBorder="1"/>
    <xf numFmtId="0" fontId="4" fillId="2" borderId="8" xfId="0" applyFont="1" applyFill="1" applyBorder="1"/>
    <xf numFmtId="3" fontId="2" fillId="0" borderId="0" xfId="0" applyNumberFormat="1" applyFont="1" applyAlignment="1">
      <alignment vertical="top" wrapText="1"/>
    </xf>
    <xf numFmtId="3" fontId="2" fillId="0" borderId="0" xfId="0" applyNumberFormat="1" applyFont="1" applyAlignment="1">
      <alignment horizontal="left" vertical="top" wrapText="1"/>
    </xf>
    <xf numFmtId="0" fontId="6" fillId="5" borderId="32" xfId="0" applyFont="1" applyFill="1" applyBorder="1"/>
    <xf numFmtId="0" fontId="7" fillId="5" borderId="33" xfId="0" applyFont="1" applyFill="1" applyBorder="1"/>
    <xf numFmtId="0" fontId="4" fillId="0" borderId="35" xfId="0" applyFont="1" applyBorder="1"/>
    <xf numFmtId="4" fontId="3" fillId="0" borderId="31" xfId="0" applyNumberFormat="1" applyFont="1" applyBorder="1" applyAlignment="1">
      <alignment horizontal="right"/>
    </xf>
    <xf numFmtId="0" fontId="7" fillId="0" borderId="0" xfId="0" applyFont="1"/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4" fillId="2" borderId="36" xfId="0" applyFont="1" applyFill="1" applyBorder="1" applyAlignment="1">
      <alignment horizontal="center" wrapText="1"/>
    </xf>
    <xf numFmtId="0" fontId="4" fillId="2" borderId="37" xfId="0" applyFont="1" applyFill="1" applyBorder="1" applyAlignment="1">
      <alignment horizontal="center"/>
    </xf>
    <xf numFmtId="0" fontId="4" fillId="7" borderId="38" xfId="0" applyFont="1" applyFill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14" fontId="4" fillId="3" borderId="36" xfId="0" applyNumberFormat="1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4" fontId="4" fillId="0" borderId="36" xfId="0" applyNumberFormat="1" applyFont="1" applyBorder="1" applyAlignment="1">
      <alignment horizontal="right"/>
    </xf>
    <xf numFmtId="4" fontId="4" fillId="0" borderId="9" xfId="0" applyNumberFormat="1" applyFont="1" applyBorder="1" applyAlignment="1">
      <alignment horizontal="right"/>
    </xf>
    <xf numFmtId="4" fontId="3" fillId="0" borderId="40" xfId="0" applyNumberFormat="1" applyFont="1" applyBorder="1" applyAlignment="1">
      <alignment horizontal="right"/>
    </xf>
    <xf numFmtId="14" fontId="4" fillId="2" borderId="42" xfId="0" applyNumberFormat="1" applyFont="1" applyFill="1" applyBorder="1" applyAlignment="1">
      <alignment wrapText="1"/>
    </xf>
    <xf numFmtId="0" fontId="4" fillId="2" borderId="42" xfId="0" applyFont="1" applyFill="1" applyBorder="1" applyAlignment="1">
      <alignment wrapText="1"/>
    </xf>
    <xf numFmtId="0" fontId="4" fillId="7" borderId="44" xfId="0" applyFont="1" applyFill="1" applyBorder="1" applyAlignment="1">
      <alignment horizontal="center" vertical="center"/>
    </xf>
    <xf numFmtId="2" fontId="4" fillId="2" borderId="45" xfId="0" applyNumberFormat="1" applyFont="1" applyFill="1" applyBorder="1" applyAlignment="1">
      <alignment wrapText="1"/>
    </xf>
    <xf numFmtId="0" fontId="4" fillId="2" borderId="45" xfId="0" applyFont="1" applyFill="1" applyBorder="1" applyAlignment="1">
      <alignment wrapText="1"/>
    </xf>
    <xf numFmtId="0" fontId="4" fillId="0" borderId="0" xfId="0" applyFont="1"/>
    <xf numFmtId="1" fontId="7" fillId="0" borderId="48" xfId="0" applyNumberFormat="1" applyFont="1" applyBorder="1" applyAlignment="1">
      <alignment horizontal="center"/>
    </xf>
    <xf numFmtId="1" fontId="4" fillId="0" borderId="48" xfId="0" applyNumberFormat="1" applyFont="1" applyBorder="1" applyAlignment="1">
      <alignment horizontal="center"/>
    </xf>
    <xf numFmtId="4" fontId="4" fillId="0" borderId="14" xfId="0" applyNumberFormat="1" applyFont="1" applyBorder="1" applyAlignment="1">
      <alignment horizontal="right"/>
    </xf>
    <xf numFmtId="0" fontId="7" fillId="0" borderId="20" xfId="0" applyFont="1" applyBorder="1" applyAlignment="1">
      <alignment wrapText="1"/>
    </xf>
    <xf numFmtId="0" fontId="4" fillId="0" borderId="0" xfId="0" applyFont="1" applyAlignment="1">
      <alignment vertical="top" wrapText="1"/>
    </xf>
    <xf numFmtId="0" fontId="4" fillId="7" borderId="38" xfId="0" applyFont="1" applyFill="1" applyBorder="1" applyAlignment="1">
      <alignment horizontal="center"/>
    </xf>
    <xf numFmtId="0" fontId="4" fillId="0" borderId="20" xfId="0" applyFont="1" applyBorder="1"/>
    <xf numFmtId="0" fontId="4" fillId="0" borderId="14" xfId="0" applyFont="1" applyBorder="1" applyAlignment="1">
      <alignment horizontal="right"/>
    </xf>
    <xf numFmtId="0" fontId="4" fillId="0" borderId="36" xfId="0" applyFont="1" applyBorder="1" applyAlignment="1">
      <alignment horizontal="right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4" fontId="4" fillId="0" borderId="36" xfId="0" applyNumberFormat="1" applyFont="1" applyBorder="1"/>
    <xf numFmtId="4" fontId="4" fillId="0" borderId="36" xfId="0" applyNumberFormat="1" applyFont="1" applyBorder="1" applyAlignment="1">
      <alignment vertical="center" wrapText="1"/>
    </xf>
    <xf numFmtId="10" fontId="4" fillId="0" borderId="36" xfId="0" applyNumberFormat="1" applyFont="1" applyBorder="1" applyAlignment="1">
      <alignment vertical="center" wrapText="1"/>
    </xf>
    <xf numFmtId="9" fontId="4" fillId="0" borderId="36" xfId="0" applyNumberFormat="1" applyFont="1" applyBorder="1" applyAlignment="1">
      <alignment vertical="center" wrapText="1"/>
    </xf>
    <xf numFmtId="0" fontId="4" fillId="0" borderId="36" xfId="0" applyFont="1" applyBorder="1"/>
    <xf numFmtId="10" fontId="4" fillId="0" borderId="13" xfId="0" applyNumberFormat="1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10" fillId="0" borderId="0" xfId="0" applyFont="1"/>
    <xf numFmtId="0" fontId="11" fillId="8" borderId="36" xfId="0" applyFont="1" applyFill="1" applyBorder="1" applyAlignment="1">
      <alignment horizontal="center"/>
    </xf>
    <xf numFmtId="0" fontId="11" fillId="0" borderId="55" xfId="0" applyFont="1" applyBorder="1" applyAlignment="1">
      <alignment wrapText="1"/>
    </xf>
    <xf numFmtId="0" fontId="4" fillId="0" borderId="0" xfId="0" applyFont="1" applyAlignment="1">
      <alignment horizontal="right"/>
    </xf>
    <xf numFmtId="0" fontId="11" fillId="0" borderId="0" xfId="0" applyFont="1" applyAlignment="1">
      <alignment wrapText="1"/>
    </xf>
    <xf numFmtId="0" fontId="11" fillId="0" borderId="56" xfId="0" applyFont="1" applyBorder="1" applyAlignment="1">
      <alignment wrapText="1"/>
    </xf>
    <xf numFmtId="0" fontId="4" fillId="0" borderId="0" xfId="0" applyFont="1" applyAlignment="1">
      <alignment horizontal="left"/>
    </xf>
    <xf numFmtId="0" fontId="11" fillId="0" borderId="55" xfId="0" applyFont="1" applyBorder="1" applyAlignment="1">
      <alignment horizontal="right" wrapText="1"/>
    </xf>
    <xf numFmtId="0" fontId="12" fillId="0" borderId="36" xfId="0" applyFont="1" applyBorder="1" applyAlignment="1">
      <alignment horizontal="left" vertical="top" wrapText="1"/>
    </xf>
    <xf numFmtId="0" fontId="11" fillId="0" borderId="56" xfId="0" applyFont="1" applyBorder="1" applyAlignment="1">
      <alignment horizontal="right" wrapText="1"/>
    </xf>
    <xf numFmtId="2" fontId="4" fillId="0" borderId="36" xfId="0" applyNumberFormat="1" applyFont="1" applyBorder="1"/>
    <xf numFmtId="2" fontId="4" fillId="0" borderId="36" xfId="0" applyNumberFormat="1" applyFont="1" applyBorder="1" applyAlignment="1">
      <alignment vertical="center" wrapText="1"/>
    </xf>
    <xf numFmtId="10" fontId="4" fillId="0" borderId="9" xfId="0" applyNumberFormat="1" applyFont="1" applyBorder="1" applyAlignment="1">
      <alignment vertical="center" wrapText="1"/>
    </xf>
    <xf numFmtId="0" fontId="13" fillId="0" borderId="0" xfId="0" applyFont="1"/>
    <xf numFmtId="0" fontId="4" fillId="2" borderId="36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9" fillId="2" borderId="36" xfId="0" applyFont="1" applyFill="1" applyBorder="1" applyAlignment="1">
      <alignment horizontal="center"/>
    </xf>
    <xf numFmtId="0" fontId="9" fillId="0" borderId="0" xfId="0" applyFont="1"/>
    <xf numFmtId="164" fontId="4" fillId="0" borderId="36" xfId="0" applyNumberFormat="1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2" fillId="9" borderId="0" xfId="0" applyFont="1" applyFill="1"/>
    <xf numFmtId="14" fontId="4" fillId="3" borderId="36" xfId="0" applyNumberFormat="1" applyFont="1" applyFill="1" applyBorder="1" applyAlignment="1" applyProtection="1">
      <alignment horizontal="center"/>
      <protection locked="0"/>
    </xf>
    <xf numFmtId="0" fontId="4" fillId="3" borderId="36" xfId="0" applyFont="1" applyFill="1" applyBorder="1" applyAlignment="1" applyProtection="1">
      <alignment horizontal="center"/>
      <protection locked="0"/>
    </xf>
    <xf numFmtId="9" fontId="4" fillId="3" borderId="36" xfId="0" applyNumberFormat="1" applyFont="1" applyFill="1" applyBorder="1" applyAlignment="1" applyProtection="1">
      <alignment horizontal="center"/>
      <protection locked="0"/>
    </xf>
    <xf numFmtId="0" fontId="4" fillId="3" borderId="52" xfId="0" applyFont="1" applyFill="1" applyBorder="1" applyAlignment="1" applyProtection="1">
      <alignment horizontal="right"/>
      <protection locked="0"/>
    </xf>
    <xf numFmtId="0" fontId="4" fillId="3" borderId="36" xfId="0" applyFont="1" applyFill="1" applyBorder="1" applyAlignment="1" applyProtection="1">
      <alignment horizontal="right"/>
      <protection locked="0"/>
    </xf>
    <xf numFmtId="0" fontId="4" fillId="3" borderId="37" xfId="0" applyFont="1" applyFill="1" applyBorder="1" applyAlignment="1" applyProtection="1">
      <alignment horizontal="right" wrapText="1"/>
      <protection locked="0"/>
    </xf>
    <xf numFmtId="0" fontId="0" fillId="0" borderId="0" xfId="0" applyProtection="1">
      <protection locked="0"/>
    </xf>
    <xf numFmtId="0" fontId="4" fillId="2" borderId="16" xfId="0" applyFont="1" applyFill="1" applyBorder="1" applyAlignment="1">
      <alignment horizontal="center" vertical="center"/>
    </xf>
    <xf numFmtId="0" fontId="5" fillId="0" borderId="17" xfId="0" applyFont="1" applyBorder="1"/>
    <xf numFmtId="0" fontId="5" fillId="0" borderId="39" xfId="0" applyFont="1" applyBorder="1"/>
    <xf numFmtId="0" fontId="5" fillId="0" borderId="47" xfId="0" applyFont="1" applyBorder="1"/>
    <xf numFmtId="0" fontId="5" fillId="0" borderId="48" xfId="0" applyFont="1" applyBorder="1"/>
    <xf numFmtId="0" fontId="5" fillId="0" borderId="49" xfId="0" applyFont="1" applyBorder="1"/>
    <xf numFmtId="0" fontId="4" fillId="3" borderId="9" xfId="0" applyFont="1" applyFill="1" applyBorder="1" applyAlignment="1" applyProtection="1">
      <alignment horizontal="left" wrapText="1"/>
      <protection locked="0"/>
    </xf>
    <xf numFmtId="0" fontId="5" fillId="0" borderId="10" xfId="0" applyFont="1" applyBorder="1" applyProtection="1">
      <protection locked="0"/>
    </xf>
    <xf numFmtId="0" fontId="5" fillId="0" borderId="13" xfId="0" applyFont="1" applyBorder="1" applyProtection="1">
      <protection locked="0"/>
    </xf>
    <xf numFmtId="0" fontId="4" fillId="3" borderId="16" xfId="0" applyFont="1" applyFill="1" applyBorder="1" applyAlignment="1" applyProtection="1">
      <alignment horizontal="left" vertical="top"/>
      <protection locked="0"/>
    </xf>
    <xf numFmtId="0" fontId="5" fillId="0" borderId="17" xfId="0" applyFont="1" applyBorder="1" applyProtection="1">
      <protection locked="0"/>
    </xf>
    <xf numFmtId="0" fontId="5" fillId="0" borderId="39" xfId="0" applyFont="1" applyBorder="1" applyProtection="1">
      <protection locked="0"/>
    </xf>
    <xf numFmtId="0" fontId="5" fillId="0" borderId="20" xfId="0" applyFont="1" applyBorder="1" applyProtection="1">
      <protection locked="0"/>
    </xf>
    <xf numFmtId="0" fontId="0" fillId="0" borderId="0" xfId="0" applyProtection="1">
      <protection locked="0"/>
    </xf>
    <xf numFmtId="0" fontId="5" fillId="0" borderId="41" xfId="0" applyFont="1" applyBorder="1" applyProtection="1">
      <protection locked="0"/>
    </xf>
    <xf numFmtId="0" fontId="5" fillId="0" borderId="47" xfId="0" applyFont="1" applyBorder="1" applyProtection="1">
      <protection locked="0"/>
    </xf>
    <xf numFmtId="0" fontId="5" fillId="0" borderId="48" xfId="0" applyFont="1" applyBorder="1" applyProtection="1">
      <protection locked="0"/>
    </xf>
    <xf numFmtId="0" fontId="5" fillId="0" borderId="49" xfId="0" applyFont="1" applyBorder="1" applyProtection="1">
      <protection locked="0"/>
    </xf>
    <xf numFmtId="0" fontId="4" fillId="0" borderId="53" xfId="0" applyFont="1" applyBorder="1" applyAlignment="1">
      <alignment horizontal="center"/>
    </xf>
    <xf numFmtId="0" fontId="5" fillId="0" borderId="54" xfId="0" applyFont="1" applyBorder="1"/>
    <xf numFmtId="0" fontId="5" fillId="0" borderId="14" xfId="0" applyFont="1" applyBorder="1"/>
    <xf numFmtId="0" fontId="4" fillId="6" borderId="16" xfId="0" applyFont="1" applyFill="1" applyBorder="1" applyAlignment="1">
      <alignment horizontal="left" vertical="top" wrapText="1"/>
    </xf>
    <xf numFmtId="0" fontId="5" fillId="0" borderId="20" xfId="0" applyFont="1" applyBorder="1"/>
    <xf numFmtId="0" fontId="0" fillId="0" borderId="0" xfId="0"/>
    <xf numFmtId="0" fontId="5" fillId="0" borderId="41" xfId="0" applyFont="1" applyBorder="1"/>
    <xf numFmtId="0" fontId="4" fillId="2" borderId="50" xfId="0" applyFont="1" applyFill="1" applyBorder="1" applyAlignment="1">
      <alignment horizontal="center" vertical="center" wrapText="1"/>
    </xf>
    <xf numFmtId="0" fontId="5" fillId="0" borderId="51" xfId="0" applyFont="1" applyBorder="1"/>
    <xf numFmtId="0" fontId="4" fillId="3" borderId="9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 applyProtection="1">
      <alignment horizontal="left"/>
      <protection locked="0"/>
    </xf>
    <xf numFmtId="0" fontId="8" fillId="5" borderId="30" xfId="0" applyFont="1" applyFill="1" applyBorder="1" applyAlignment="1">
      <alignment horizontal="left"/>
    </xf>
    <xf numFmtId="0" fontId="5" fillId="0" borderId="35" xfId="0" applyFont="1" applyBorder="1"/>
    <xf numFmtId="0" fontId="5" fillId="0" borderId="29" xfId="0" applyFont="1" applyBorder="1"/>
    <xf numFmtId="0" fontId="4" fillId="2" borderId="16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/>
    </xf>
    <xf numFmtId="0" fontId="5" fillId="0" borderId="10" xfId="0" applyFont="1" applyBorder="1"/>
    <xf numFmtId="0" fontId="5" fillId="0" borderId="13" xfId="0" applyFont="1" applyBorder="1"/>
    <xf numFmtId="0" fontId="4" fillId="2" borderId="9" xfId="0" applyFont="1" applyFill="1" applyBorder="1" applyAlignment="1">
      <alignment horizontal="center" wrapText="1"/>
    </xf>
    <xf numFmtId="0" fontId="4" fillId="6" borderId="1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wrapText="1"/>
    </xf>
    <xf numFmtId="4" fontId="4" fillId="3" borderId="9" xfId="0" applyNumberFormat="1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left"/>
    </xf>
    <xf numFmtId="0" fontId="5" fillId="0" borderId="27" xfId="0" applyFont="1" applyBorder="1"/>
    <xf numFmtId="3" fontId="4" fillId="0" borderId="16" xfId="0" applyNumberFormat="1" applyFont="1" applyBorder="1" applyAlignment="1">
      <alignment horizontal="right"/>
    </xf>
    <xf numFmtId="0" fontId="5" fillId="0" borderId="18" xfId="0" applyFont="1" applyBorder="1"/>
    <xf numFmtId="9" fontId="4" fillId="3" borderId="9" xfId="0" applyNumberFormat="1" applyFont="1" applyFill="1" applyBorder="1" applyAlignment="1" applyProtection="1">
      <alignment horizontal="center"/>
      <protection locked="0"/>
    </xf>
    <xf numFmtId="0" fontId="4" fillId="2" borderId="43" xfId="0" applyFont="1" applyFill="1" applyBorder="1" applyAlignment="1">
      <alignment horizontal="center" wrapText="1"/>
    </xf>
    <xf numFmtId="0" fontId="5" fillId="0" borderId="46" xfId="0" applyFont="1" applyBorder="1"/>
    <xf numFmtId="0" fontId="3" fillId="4" borderId="28" xfId="0" applyFont="1" applyFill="1" applyBorder="1" applyAlignment="1">
      <alignment horizontal="left" vertical="top"/>
    </xf>
    <xf numFmtId="3" fontId="3" fillId="0" borderId="30" xfId="0" applyNumberFormat="1" applyFont="1" applyBorder="1" applyAlignment="1">
      <alignment horizontal="right" vertical="top"/>
    </xf>
    <xf numFmtId="0" fontId="5" fillId="0" borderId="31" xfId="0" applyFont="1" applyBorder="1"/>
    <xf numFmtId="0" fontId="8" fillId="5" borderId="34" xfId="0" applyFont="1" applyFill="1" applyBorder="1" applyAlignment="1">
      <alignment horizontal="right"/>
    </xf>
    <xf numFmtId="0" fontId="4" fillId="2" borderId="15" xfId="0" applyFont="1" applyFill="1" applyBorder="1" applyAlignment="1">
      <alignment horizontal="left" vertical="top"/>
    </xf>
    <xf numFmtId="0" fontId="5" fillId="0" borderId="19" xfId="0" applyFont="1" applyBorder="1"/>
    <xf numFmtId="0" fontId="5" fillId="0" borderId="22" xfId="0" applyFont="1" applyBorder="1"/>
    <xf numFmtId="3" fontId="2" fillId="0" borderId="16" xfId="0" applyNumberFormat="1" applyFont="1" applyBorder="1" applyAlignment="1">
      <alignment horizontal="left" vertical="top" wrapText="1"/>
    </xf>
    <xf numFmtId="0" fontId="5" fillId="0" borderId="21" xfId="0" applyFont="1" applyBorder="1"/>
    <xf numFmtId="0" fontId="5" fillId="0" borderId="23" xfId="0" applyFont="1" applyBorder="1"/>
    <xf numFmtId="0" fontId="5" fillId="0" borderId="24" xfId="0" applyFont="1" applyBorder="1"/>
    <xf numFmtId="0" fontId="5" fillId="0" borderId="25" xfId="0" applyFont="1" applyBorder="1"/>
    <xf numFmtId="0" fontId="4" fillId="2" borderId="12" xfId="0" applyFont="1" applyFill="1" applyBorder="1" applyAlignment="1">
      <alignment horizontal="left"/>
    </xf>
    <xf numFmtId="3" fontId="4" fillId="0" borderId="9" xfId="0" applyNumberFormat="1" applyFont="1" applyBorder="1" applyAlignment="1">
      <alignment horizontal="right"/>
    </xf>
    <xf numFmtId="0" fontId="5" fillId="0" borderId="11" xfId="0" applyFont="1" applyBorder="1"/>
    <xf numFmtId="0" fontId="3" fillId="0" borderId="0" xfId="0" applyFont="1" applyAlignment="1">
      <alignment horizontal="center"/>
    </xf>
    <xf numFmtId="3" fontId="4" fillId="3" borderId="2" xfId="0" applyNumberFormat="1" applyFont="1" applyFill="1" applyBorder="1" applyAlignment="1" applyProtection="1">
      <alignment horizontal="left"/>
      <protection locked="0"/>
    </xf>
    <xf numFmtId="0" fontId="5" fillId="0" borderId="3" xfId="0" applyFont="1" applyBorder="1" applyProtection="1">
      <protection locked="0"/>
    </xf>
    <xf numFmtId="0" fontId="5" fillId="0" borderId="4" xfId="0" applyFont="1" applyBorder="1" applyProtection="1">
      <protection locked="0"/>
    </xf>
    <xf numFmtId="0" fontId="4" fillId="2" borderId="5" xfId="0" applyFont="1" applyFill="1" applyBorder="1" applyAlignment="1">
      <alignment horizontal="left"/>
    </xf>
    <xf numFmtId="0" fontId="5" fillId="0" borderId="6" xfId="0" applyFont="1" applyBorder="1"/>
    <xf numFmtId="3" fontId="14" fillId="3" borderId="2" xfId="0" applyNumberFormat="1" applyFont="1" applyFill="1" applyBorder="1" applyAlignment="1" applyProtection="1">
      <alignment horizontal="right"/>
      <protection locked="0"/>
    </xf>
    <xf numFmtId="0" fontId="15" fillId="0" borderId="4" xfId="0" applyFont="1" applyBorder="1" applyProtection="1">
      <protection locked="0"/>
    </xf>
    <xf numFmtId="0" fontId="4" fillId="3" borderId="7" xfId="0" applyFont="1" applyFill="1" applyBorder="1" applyAlignment="1" applyProtection="1">
      <alignment horizontal="center"/>
      <protection locked="0"/>
    </xf>
    <xf numFmtId="0" fontId="5" fillId="0" borderId="14" xfId="0" applyFont="1" applyBorder="1" applyProtection="1">
      <protection locked="0"/>
    </xf>
    <xf numFmtId="0" fontId="3" fillId="0" borderId="0" xfId="0" applyFont="1" applyAlignment="1">
      <alignment horizontal="left" vertical="center" wrapText="1"/>
    </xf>
    <xf numFmtId="3" fontId="4" fillId="0" borderId="9" xfId="0" applyNumberFormat="1" applyFont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3" fontId="3" fillId="0" borderId="9" xfId="0" applyNumberFormat="1" applyFont="1" applyBorder="1" applyAlignment="1">
      <alignment horizontal="right"/>
    </xf>
    <xf numFmtId="0" fontId="3" fillId="0" borderId="9" xfId="0" applyFont="1" applyBorder="1" applyAlignment="1">
      <alignment horizontal="center" vertical="center" wrapText="1"/>
    </xf>
    <xf numFmtId="9" fontId="4" fillId="0" borderId="7" xfId="0" applyNumberFormat="1" applyFont="1" applyBorder="1" applyAlignment="1">
      <alignment vertical="center" wrapText="1"/>
    </xf>
    <xf numFmtId="0" fontId="4" fillId="3" borderId="16" xfId="0" applyFont="1" applyFill="1" applyBorder="1" applyAlignment="1">
      <alignment horizontal="left" vertical="top"/>
    </xf>
    <xf numFmtId="0" fontId="4" fillId="3" borderId="7" xfId="0" applyFont="1" applyFill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3" fillId="0" borderId="48" xfId="0" applyFont="1" applyBorder="1" applyAlignment="1">
      <alignment horizontal="center"/>
    </xf>
  </cellXfs>
  <cellStyles count="1">
    <cellStyle name="Standard" xfId="0" builtinId="0"/>
  </cellStyles>
  <dxfs count="20"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  <dxf>
      <font>
        <color theme="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000"/>
  <sheetViews>
    <sheetView showGridLines="0" tabSelected="1" workbookViewId="0">
      <selection activeCell="D25" sqref="D25:E25"/>
    </sheetView>
  </sheetViews>
  <sheetFormatPr baseColWidth="10" defaultColWidth="14.453125" defaultRowHeight="15" customHeight="1" x14ac:dyDescent="0.35"/>
  <cols>
    <col min="1" max="1" width="18.26953125" customWidth="1"/>
    <col min="2" max="2" width="14.81640625" customWidth="1"/>
    <col min="3" max="3" width="8.26953125" customWidth="1"/>
    <col min="4" max="4" width="12.08984375" customWidth="1"/>
    <col min="5" max="5" width="8.7265625" customWidth="1"/>
    <col min="6" max="6" width="19" customWidth="1"/>
    <col min="7" max="7" width="5.08984375" customWidth="1"/>
    <col min="8" max="8" width="7.08984375" customWidth="1"/>
    <col min="9" max="9" width="12.453125" customWidth="1"/>
    <col min="10" max="10" width="13" customWidth="1"/>
    <col min="11" max="11" width="8.26953125" customWidth="1"/>
    <col min="12" max="12" width="13" customWidth="1"/>
    <col min="13" max="13" width="8.7265625" customWidth="1"/>
    <col min="14" max="14" width="13.453125" customWidth="1"/>
    <col min="15" max="15" width="2" customWidth="1"/>
    <col min="16" max="16" width="10.7265625" customWidth="1"/>
    <col min="17" max="17" width="11.453125" customWidth="1"/>
    <col min="18" max="18" width="13.08984375" customWidth="1"/>
    <col min="19" max="19" width="18" customWidth="1"/>
    <col min="20" max="26" width="10.7265625" customWidth="1"/>
  </cols>
  <sheetData>
    <row r="1" spans="1:19" ht="18.5" x14ac:dyDescent="0.45">
      <c r="A1" s="1" t="s">
        <v>202</v>
      </c>
    </row>
    <row r="2" spans="1:19" ht="14.5" x14ac:dyDescent="0.35">
      <c r="A2" s="71" t="str">
        <f ca="1">CELL("Dateiname")</f>
        <v>H:\Friedrich Schiedel Fellowship\Kalkulation_allgemein\2026\[20260413_FSF3_Cost Calculation Template.xlsx]Example</v>
      </c>
    </row>
    <row r="3" spans="1:19" ht="14.5" x14ac:dyDescent="0.35">
      <c r="A3" s="2"/>
      <c r="I3" s="143" t="s">
        <v>0</v>
      </c>
      <c r="J3" s="102"/>
      <c r="K3" s="102"/>
      <c r="L3" s="102"/>
    </row>
    <row r="4" spans="1:19" ht="14.5" x14ac:dyDescent="0.35">
      <c r="A4" s="3" t="s">
        <v>1</v>
      </c>
      <c r="B4" s="144"/>
      <c r="C4" s="145"/>
      <c r="D4" s="146"/>
      <c r="I4" s="147" t="s">
        <v>2</v>
      </c>
      <c r="J4" s="148"/>
      <c r="K4" s="149">
        <v>20000</v>
      </c>
      <c r="L4" s="150"/>
      <c r="P4" s="151"/>
      <c r="Q4" s="153" t="s">
        <v>3</v>
      </c>
      <c r="R4" s="102"/>
    </row>
    <row r="5" spans="1:19" ht="14.5" x14ac:dyDescent="0.35">
      <c r="A5" s="4" t="s">
        <v>4</v>
      </c>
      <c r="B5" s="154" t="str">
        <f>IFERROR(VLOOKUP($B$4,Stammdaten!$E$44:$G$54,2,FALSE)," ")</f>
        <v xml:space="preserve"> </v>
      </c>
      <c r="C5" s="114"/>
      <c r="D5" s="142"/>
      <c r="I5" s="155" t="s">
        <v>5</v>
      </c>
      <c r="J5" s="115"/>
      <c r="K5" s="156">
        <f>SUM(K6:K11)</f>
        <v>0</v>
      </c>
      <c r="L5" s="142"/>
      <c r="P5" s="152"/>
      <c r="Q5" s="102"/>
      <c r="R5" s="102"/>
    </row>
    <row r="6" spans="1:19" ht="13.5" customHeight="1" x14ac:dyDescent="0.35">
      <c r="A6" s="132" t="s">
        <v>6</v>
      </c>
      <c r="B6" s="135" t="str">
        <f>IFERROR(VLOOKUP($B$4,Stammdaten!$E$44:$G$54,3,FALSE)," ")</f>
        <v xml:space="preserve"> </v>
      </c>
      <c r="C6" s="80"/>
      <c r="D6" s="124"/>
      <c r="E6" s="5"/>
      <c r="I6" s="140" t="str">
        <f>LEFT(A16,18)</f>
        <v>A1. Salary upgrade</v>
      </c>
      <c r="J6" s="115"/>
      <c r="K6" s="141">
        <f>IF(N18=0,N20,N18)</f>
        <v>0</v>
      </c>
      <c r="L6" s="142"/>
    </row>
    <row r="7" spans="1:19" ht="13.5" customHeight="1" x14ac:dyDescent="0.35">
      <c r="A7" s="133"/>
      <c r="B7" s="101"/>
      <c r="C7" s="102"/>
      <c r="D7" s="136"/>
      <c r="E7" s="6"/>
      <c r="I7" s="140" t="str">
        <f>A22</f>
        <v>A2. Student assistants</v>
      </c>
      <c r="J7" s="115"/>
      <c r="K7" s="141">
        <f>N24</f>
        <v>0</v>
      </c>
      <c r="L7" s="142"/>
    </row>
    <row r="8" spans="1:19" ht="13.5" customHeight="1" x14ac:dyDescent="0.35">
      <c r="A8" s="133"/>
      <c r="B8" s="101"/>
      <c r="C8" s="102"/>
      <c r="D8" s="136"/>
      <c r="E8" s="6"/>
      <c r="I8" s="140" t="str">
        <f>A36</f>
        <v>B1. Infrastructure</v>
      </c>
      <c r="J8" s="115"/>
      <c r="K8" s="141">
        <f>F38</f>
        <v>0</v>
      </c>
      <c r="L8" s="142"/>
    </row>
    <row r="9" spans="1:19" ht="13.5" customHeight="1" x14ac:dyDescent="0.35">
      <c r="A9" s="134"/>
      <c r="B9" s="137"/>
      <c r="C9" s="138"/>
      <c r="D9" s="139"/>
      <c r="E9" s="6"/>
      <c r="I9" s="140" t="str">
        <f>LEFT(A50,22)</f>
        <v>B2. Workshops &amp; Events</v>
      </c>
      <c r="J9" s="115"/>
      <c r="K9" s="141">
        <f>F52</f>
        <v>0</v>
      </c>
      <c r="L9" s="142"/>
    </row>
    <row r="10" spans="1:19" ht="13.5" customHeight="1" x14ac:dyDescent="0.35">
      <c r="B10" s="6"/>
      <c r="C10" s="6"/>
      <c r="D10" s="6"/>
      <c r="E10" s="6"/>
      <c r="I10" s="140" t="str">
        <f>LEFT(A64,16)</f>
        <v>B3. Travel costs</v>
      </c>
      <c r="J10" s="115"/>
      <c r="K10" s="141">
        <f>F66</f>
        <v>0</v>
      </c>
      <c r="L10" s="142"/>
    </row>
    <row r="11" spans="1:19" ht="13.5" customHeight="1" x14ac:dyDescent="0.35">
      <c r="B11" s="6"/>
      <c r="C11" s="6"/>
      <c r="D11" s="6"/>
      <c r="E11" s="6"/>
      <c r="I11" s="121" t="str">
        <f>A78</f>
        <v>B4. Other costs</v>
      </c>
      <c r="J11" s="122"/>
      <c r="K11" s="123">
        <f>F80</f>
        <v>0</v>
      </c>
      <c r="L11" s="124"/>
    </row>
    <row r="12" spans="1:19" ht="18" customHeight="1" x14ac:dyDescent="0.35">
      <c r="B12" s="6"/>
      <c r="C12" s="6"/>
      <c r="D12" s="6"/>
      <c r="E12" s="6"/>
      <c r="I12" s="128" t="s">
        <v>7</v>
      </c>
      <c r="J12" s="111"/>
      <c r="K12" s="129">
        <f>K4-K5</f>
        <v>20000</v>
      </c>
      <c r="L12" s="130"/>
    </row>
    <row r="13" spans="1:19" ht="26.25" customHeight="1" x14ac:dyDescent="0.35"/>
    <row r="14" spans="1:19" ht="18.5" x14ac:dyDescent="0.45">
      <c r="A14" s="7" t="s">
        <v>255</v>
      </c>
      <c r="B14" s="8"/>
      <c r="C14" s="8"/>
      <c r="D14" s="8"/>
      <c r="E14" s="8"/>
      <c r="F14" s="8"/>
      <c r="G14" s="8"/>
      <c r="H14" s="8"/>
      <c r="I14" s="131" t="s">
        <v>9</v>
      </c>
      <c r="J14" s="110"/>
      <c r="K14" s="110"/>
      <c r="L14" s="111"/>
      <c r="M14" s="9"/>
      <c r="N14" s="10">
        <f>IF(N20&gt;0,N20+N24,N18+N24)</f>
        <v>0</v>
      </c>
      <c r="P14" s="113" t="s">
        <v>10</v>
      </c>
      <c r="Q14" s="114"/>
      <c r="R14" s="114"/>
      <c r="S14" s="115"/>
    </row>
    <row r="16" spans="1:19" ht="18.5" x14ac:dyDescent="0.45">
      <c r="A16" s="1" t="s">
        <v>11</v>
      </c>
      <c r="D16" s="11"/>
      <c r="E16" s="12"/>
      <c r="F16" s="12"/>
      <c r="J16" s="13">
        <v>45688</v>
      </c>
      <c r="K16" s="13"/>
      <c r="L16" s="13">
        <v>45689</v>
      </c>
      <c r="M16" s="13"/>
    </row>
    <row r="17" spans="1:20" ht="59.25" customHeight="1" x14ac:dyDescent="0.35">
      <c r="A17" s="14" t="s">
        <v>12</v>
      </c>
      <c r="B17" s="14" t="s">
        <v>13</v>
      </c>
      <c r="C17" s="15" t="s">
        <v>14</v>
      </c>
      <c r="D17" s="116" t="s">
        <v>15</v>
      </c>
      <c r="E17" s="115"/>
      <c r="F17" s="14" t="s">
        <v>16</v>
      </c>
      <c r="G17" s="116" t="s">
        <v>17</v>
      </c>
      <c r="H17" s="115"/>
      <c r="I17" s="14" t="s">
        <v>18</v>
      </c>
      <c r="J17" s="14" t="s">
        <v>206</v>
      </c>
      <c r="K17" s="14" t="s">
        <v>19</v>
      </c>
      <c r="L17" s="14" t="s">
        <v>207</v>
      </c>
      <c r="M17" s="14" t="s">
        <v>20</v>
      </c>
      <c r="N17" s="16" t="s">
        <v>5</v>
      </c>
      <c r="P17" s="117" t="s">
        <v>21</v>
      </c>
      <c r="Q17" s="80"/>
      <c r="R17" s="80"/>
      <c r="S17" s="81"/>
      <c r="T17" s="17"/>
    </row>
    <row r="18" spans="1:20" ht="14.5" x14ac:dyDescent="0.35">
      <c r="A18" s="72" t="s">
        <v>266</v>
      </c>
      <c r="B18" s="72" t="s">
        <v>266</v>
      </c>
      <c r="C18" s="19" t="e">
        <f>DATEDIF(A18,B18,"M")+1</f>
        <v>#VALUE!</v>
      </c>
      <c r="D18" s="106" t="s">
        <v>69</v>
      </c>
      <c r="E18" s="87"/>
      <c r="F18" s="73">
        <v>4</v>
      </c>
      <c r="G18" s="125">
        <v>0</v>
      </c>
      <c r="H18" s="87"/>
      <c r="I18" s="74">
        <v>0</v>
      </c>
      <c r="J18" s="20">
        <f>IF($B$18&lt;$L$22="WAHR",0,IFERROR(VLOOKUP($D$18,Tabellengehälter_2026!$A$3:$G$21,$F$18+1,FALSE),0))</f>
        <v>7760.28331325</v>
      </c>
      <c r="K18" s="21">
        <f>IFERROR(IF($B$18&gt;$J$22,DATEDIF($A$18,$J$22,"M")+1,DATEDIF($A$18,$B$18,"M")+1),0)</f>
        <v>0</v>
      </c>
      <c r="L18" s="20">
        <f>IF($B$18&lt;$L$22=TRUE,0,IFERROR(VLOOKUP($D$18,Tabellengehälter_2027!$A$3:$G$21,$F$18+1,FALSE)," "))</f>
        <v>7915.4916802000007</v>
      </c>
      <c r="M18" s="21" t="e">
        <f>C18-K18</f>
        <v>#VALUE!</v>
      </c>
      <c r="N18" s="22">
        <f>IFERROR((J18*$I$18*$K$18)+($L$18*$I$18*$M$18),0)</f>
        <v>0</v>
      </c>
      <c r="P18" s="101"/>
      <c r="Q18" s="102"/>
      <c r="R18" s="102"/>
      <c r="S18" s="103"/>
      <c r="T18" s="17"/>
    </row>
    <row r="19" spans="1:20" ht="29" x14ac:dyDescent="0.35">
      <c r="A19" s="14" t="s">
        <v>12</v>
      </c>
      <c r="B19" s="14" t="s">
        <v>13</v>
      </c>
      <c r="C19" s="15" t="s">
        <v>14</v>
      </c>
      <c r="D19" s="116" t="s">
        <v>22</v>
      </c>
      <c r="E19" s="115"/>
      <c r="F19" s="118"/>
      <c r="G19" s="116" t="s">
        <v>17</v>
      </c>
      <c r="H19" s="115"/>
      <c r="I19" s="14" t="s">
        <v>18</v>
      </c>
      <c r="J19" s="23"/>
      <c r="K19" s="24"/>
      <c r="L19" s="23"/>
      <c r="M19" s="126"/>
      <c r="N19" s="25" t="s">
        <v>5</v>
      </c>
      <c r="P19" s="101"/>
      <c r="Q19" s="102"/>
      <c r="R19" s="102"/>
      <c r="S19" s="103"/>
      <c r="T19" s="17"/>
    </row>
    <row r="20" spans="1:20" ht="14.5" x14ac:dyDescent="0.35">
      <c r="A20" s="72"/>
      <c r="B20" s="72"/>
      <c r="C20" s="19">
        <f>DATEDIF(A20,B20,"M")+1</f>
        <v>1</v>
      </c>
      <c r="D20" s="119"/>
      <c r="E20" s="87"/>
      <c r="F20" s="99"/>
      <c r="G20" s="125"/>
      <c r="H20" s="87"/>
      <c r="I20" s="74"/>
      <c r="J20" s="26"/>
      <c r="K20" s="27"/>
      <c r="L20" s="26"/>
      <c r="M20" s="127"/>
      <c r="N20" s="22">
        <f>IFERROR((D20/G20*I20*C20),0)</f>
        <v>0</v>
      </c>
      <c r="P20" s="82"/>
      <c r="Q20" s="83"/>
      <c r="R20" s="83"/>
      <c r="S20" s="84"/>
      <c r="T20" s="17"/>
    </row>
    <row r="21" spans="1:20" ht="15.75" customHeight="1" x14ac:dyDescent="0.35">
      <c r="J21" s="28"/>
      <c r="K21" s="28"/>
      <c r="L21" s="28"/>
      <c r="M21" s="28"/>
    </row>
    <row r="22" spans="1:20" ht="15.75" customHeight="1" x14ac:dyDescent="0.45">
      <c r="A22" s="1" t="s">
        <v>23</v>
      </c>
      <c r="D22" s="11"/>
      <c r="E22" s="12"/>
      <c r="F22" s="12"/>
      <c r="J22" s="13">
        <v>46477</v>
      </c>
      <c r="K22" s="29"/>
      <c r="L22" s="13">
        <v>46478</v>
      </c>
      <c r="M22" s="30"/>
    </row>
    <row r="23" spans="1:20" ht="30" customHeight="1" x14ac:dyDescent="0.35">
      <c r="A23" s="107" t="s">
        <v>12</v>
      </c>
      <c r="B23" s="107" t="s">
        <v>13</v>
      </c>
      <c r="C23" s="120" t="s">
        <v>14</v>
      </c>
      <c r="D23" s="112" t="s">
        <v>24</v>
      </c>
      <c r="E23" s="81"/>
      <c r="F23" s="107" t="s">
        <v>25</v>
      </c>
      <c r="G23" s="112" t="s">
        <v>26</v>
      </c>
      <c r="H23" s="80"/>
      <c r="I23" s="81"/>
      <c r="J23" s="107" t="s">
        <v>209</v>
      </c>
      <c r="K23" s="107" t="s">
        <v>14</v>
      </c>
      <c r="L23" s="107" t="s">
        <v>210</v>
      </c>
      <c r="M23" s="104" t="s">
        <v>14</v>
      </c>
      <c r="N23" s="16" t="s">
        <v>5</v>
      </c>
      <c r="P23" s="117" t="s">
        <v>27</v>
      </c>
      <c r="Q23" s="80"/>
      <c r="R23" s="80"/>
      <c r="S23" s="81"/>
    </row>
    <row r="24" spans="1:20" ht="15.75" customHeight="1" x14ac:dyDescent="0.35">
      <c r="A24" s="99"/>
      <c r="B24" s="99"/>
      <c r="C24" s="99"/>
      <c r="D24" s="82"/>
      <c r="E24" s="84"/>
      <c r="F24" s="99"/>
      <c r="G24" s="101"/>
      <c r="H24" s="102"/>
      <c r="I24" s="103"/>
      <c r="J24" s="99"/>
      <c r="K24" s="99"/>
      <c r="L24" s="99"/>
      <c r="M24" s="105"/>
      <c r="N24" s="22">
        <f>IFERROR(SUM(N25:N31),0)</f>
        <v>0</v>
      </c>
      <c r="P24" s="101"/>
      <c r="Q24" s="102"/>
      <c r="R24" s="102"/>
      <c r="S24" s="103"/>
    </row>
    <row r="25" spans="1:20" ht="15.75" customHeight="1" x14ac:dyDescent="0.35">
      <c r="A25" s="72" t="s">
        <v>266</v>
      </c>
      <c r="B25" s="72" t="s">
        <v>266</v>
      </c>
      <c r="C25" s="19" t="e">
        <f t="shared" ref="C25:C31" si="0">DATEDIF(A25,B25,"M")+1</f>
        <v>#VALUE!</v>
      </c>
      <c r="D25" s="106" t="s">
        <v>75</v>
      </c>
      <c r="E25" s="87"/>
      <c r="F25" s="73"/>
      <c r="G25" s="108"/>
      <c r="H25" s="86"/>
      <c r="I25" s="87"/>
      <c r="J25" s="20">
        <f>IFERROR(IF(F25&gt;8.5,VLOOKUP($F25,Stundensätze!$A$5:$C$43,$O25+1,FALSE)*1.093*1.3,VLOOKUP($F25,Stundensätze!$A$5:$C$43,$O25+1,FALSE)*1.093),0)</f>
        <v>0</v>
      </c>
      <c r="K25" s="20">
        <f>IFERROR(MIN(C25,DATEDIF(A25,$J$22,"M")+1),0)</f>
        <v>0</v>
      </c>
      <c r="L25" s="20">
        <f>IFERROR(IF(F25&gt;8.5,VLOOKUP($F25,Stundensätze!$A$5:$C$43,$O25+1,FALSE)*1.093*1.3,VLOOKUP($F25,Stundensätze!$E$5:$G$43,$O25+1,FALSE)*1.093),0)</f>
        <v>0</v>
      </c>
      <c r="M25" s="20">
        <f>IFERROR(DATEDIF($L$22,B25,"M")+1,0)</f>
        <v>0</v>
      </c>
      <c r="N25" s="31">
        <f t="shared" ref="N25:N31" si="1">IFERROR(($J25*$K25)+($L25*$M25),0)</f>
        <v>0</v>
      </c>
      <c r="O25" s="32">
        <f t="shared" ref="O25:O31" si="2">IF(D25="BA/MA",1,2)</f>
        <v>2</v>
      </c>
      <c r="P25" s="101"/>
      <c r="Q25" s="102"/>
      <c r="R25" s="102"/>
      <c r="S25" s="103"/>
    </row>
    <row r="26" spans="1:20" ht="15.75" customHeight="1" x14ac:dyDescent="0.35">
      <c r="A26" s="72"/>
      <c r="B26" s="72"/>
      <c r="C26" s="19">
        <f t="shared" si="0"/>
        <v>1</v>
      </c>
      <c r="D26" s="106"/>
      <c r="E26" s="87"/>
      <c r="F26" s="73"/>
      <c r="G26" s="108"/>
      <c r="H26" s="86"/>
      <c r="I26" s="87"/>
      <c r="J26" s="20">
        <f>IFERROR(IF(F26&gt;8,VLOOKUP($F26,Stundensätze!$A$5:$C$43,$O26+1,FALSE)*1.093*1.3,VLOOKUP($F26,Stundensätze!$A$5:$C$43,$O26+1,FALSE)*1.093),0)</f>
        <v>0</v>
      </c>
      <c r="K26" s="20">
        <f t="shared" ref="K26:K31" si="3">IFERROR(DATEDIF(A26,$J$22,"M")+1,0)</f>
        <v>1527</v>
      </c>
      <c r="L26" s="20">
        <f>IFERROR(IF(F26&gt;8,VLOOKUP($F26,Stundensätze!$A$5:$C$43,$O26+1,FALSE)*1.093*1.3,VLOOKUP($F26,Stundensätze!$E$5:$G$43,$O26+1,FALSE)*1.093),0)</f>
        <v>0</v>
      </c>
      <c r="M26" s="20">
        <f t="shared" ref="M26:M31" si="4">IFERROR(DATEDIF($L$22,B26,"M")+1,0)</f>
        <v>0</v>
      </c>
      <c r="N26" s="20">
        <f t="shared" si="1"/>
        <v>0</v>
      </c>
      <c r="O26" s="32">
        <f t="shared" si="2"/>
        <v>2</v>
      </c>
      <c r="P26" s="101"/>
      <c r="Q26" s="102"/>
      <c r="R26" s="102"/>
      <c r="S26" s="103"/>
    </row>
    <row r="27" spans="1:20" ht="15.75" customHeight="1" x14ac:dyDescent="0.35">
      <c r="A27" s="72"/>
      <c r="B27" s="72"/>
      <c r="C27" s="19">
        <f t="shared" si="0"/>
        <v>1</v>
      </c>
      <c r="D27" s="106"/>
      <c r="E27" s="87"/>
      <c r="F27" s="73"/>
      <c r="G27" s="108"/>
      <c r="H27" s="86"/>
      <c r="I27" s="87"/>
      <c r="J27" s="20">
        <f>IFERROR(IF(F27&gt;8,VLOOKUP($F27,Stundensätze!$A$5:$C$43,$O27+1,FALSE)*1.093*1.3,VLOOKUP($F27,Stundensätze!$A$5:$C$43,$O27+1,FALSE)*1.093),0)</f>
        <v>0</v>
      </c>
      <c r="K27" s="20">
        <f t="shared" si="3"/>
        <v>1527</v>
      </c>
      <c r="L27" s="20">
        <f>IFERROR(IF(F27&gt;8,VLOOKUP($F27,Stundensätze!$A$5:$C$43,$O27+1,FALSE)*1.093*1.3,VLOOKUP($F27,Stundensätze!$E$5:$G$43,$O27+1,FALSE)*1.093),0)</f>
        <v>0</v>
      </c>
      <c r="M27" s="20">
        <f t="shared" si="4"/>
        <v>0</v>
      </c>
      <c r="N27" s="20">
        <f t="shared" si="1"/>
        <v>0</v>
      </c>
      <c r="O27" s="32">
        <f t="shared" si="2"/>
        <v>2</v>
      </c>
      <c r="P27" s="82"/>
      <c r="Q27" s="83"/>
      <c r="R27" s="83"/>
      <c r="S27" s="84"/>
    </row>
    <row r="28" spans="1:20" ht="15.75" customHeight="1" x14ac:dyDescent="0.35">
      <c r="A28" s="72"/>
      <c r="B28" s="72"/>
      <c r="C28" s="19">
        <f t="shared" si="0"/>
        <v>1</v>
      </c>
      <c r="D28" s="106"/>
      <c r="E28" s="87"/>
      <c r="F28" s="73"/>
      <c r="G28" s="108"/>
      <c r="H28" s="86"/>
      <c r="I28" s="87"/>
      <c r="J28" s="20">
        <f>IFERROR(IF(F28&gt;8,VLOOKUP($F28,Stundensätze!$A$5:$C$43,$O28+1,FALSE)*1.093*1.3,VLOOKUP($F28,Stundensätze!$A$5:$C$43,$O28+1,FALSE)*1.093),0)</f>
        <v>0</v>
      </c>
      <c r="K28" s="20">
        <f t="shared" si="3"/>
        <v>1527</v>
      </c>
      <c r="L28" s="20">
        <f>IFERROR(IF(F28&gt;8,VLOOKUP($F28,Stundensätze!$A$5:$C$43,$O28+1,FALSE)*1.093*1.3,VLOOKUP($F28,Stundensätze!$E$5:$G$43,$O28+1,FALSE)*1.093),0)</f>
        <v>0</v>
      </c>
      <c r="M28" s="20">
        <f t="shared" si="4"/>
        <v>0</v>
      </c>
      <c r="N28" s="20">
        <f t="shared" si="1"/>
        <v>0</v>
      </c>
      <c r="O28" s="32">
        <f t="shared" si="2"/>
        <v>2</v>
      </c>
      <c r="P28" s="33"/>
      <c r="Q28" s="33"/>
      <c r="R28" s="33"/>
    </row>
    <row r="29" spans="1:20" ht="15.75" customHeight="1" x14ac:dyDescent="0.35">
      <c r="A29" s="72"/>
      <c r="B29" s="72"/>
      <c r="C29" s="19">
        <f t="shared" si="0"/>
        <v>1</v>
      </c>
      <c r="D29" s="106"/>
      <c r="E29" s="87"/>
      <c r="F29" s="73"/>
      <c r="G29" s="108"/>
      <c r="H29" s="86"/>
      <c r="I29" s="87"/>
      <c r="J29" s="20">
        <f>IFERROR(IF(F29&gt;8,VLOOKUP($F29,Stundensätze!$A$5:$C$43,$O29+1,FALSE)*1.093*1.3,VLOOKUP($F29,Stundensätze!$A$5:$C$43,$O29+1,FALSE)*1.093),0)</f>
        <v>0</v>
      </c>
      <c r="K29" s="20">
        <f t="shared" si="3"/>
        <v>1527</v>
      </c>
      <c r="L29" s="20">
        <f>IFERROR(IF(F29&gt;8,VLOOKUP($F29,Stundensätze!$A$5:$C$43,$O29+1,FALSE)*1.093*1.3,VLOOKUP($F29,Stundensätze!$E$5:$G$43,$O29+1,FALSE)*1.093),0)</f>
        <v>0</v>
      </c>
      <c r="M29" s="20">
        <f t="shared" si="4"/>
        <v>0</v>
      </c>
      <c r="N29" s="20">
        <f t="shared" si="1"/>
        <v>0</v>
      </c>
      <c r="O29" s="32">
        <f t="shared" si="2"/>
        <v>2</v>
      </c>
      <c r="P29" s="33"/>
      <c r="Q29" s="33"/>
      <c r="R29" s="33"/>
    </row>
    <row r="30" spans="1:20" ht="15.75" customHeight="1" x14ac:dyDescent="0.35">
      <c r="A30" s="72"/>
      <c r="B30" s="72"/>
      <c r="C30" s="19">
        <f t="shared" si="0"/>
        <v>1</v>
      </c>
      <c r="D30" s="106"/>
      <c r="E30" s="87"/>
      <c r="F30" s="73"/>
      <c r="G30" s="108"/>
      <c r="H30" s="86"/>
      <c r="I30" s="87"/>
      <c r="J30" s="20">
        <f>IFERROR(IF(F30&gt;8,VLOOKUP($F30,Stundensätze!$A$5:$C$43,$O30+1,FALSE)*1.093*1.3,VLOOKUP($F30,Stundensätze!$A$5:$C$43,$O30+1,FALSE)*1.093),0)</f>
        <v>0</v>
      </c>
      <c r="K30" s="20">
        <f t="shared" si="3"/>
        <v>1527</v>
      </c>
      <c r="L30" s="20">
        <f>IFERROR(IF(F30&gt;8,VLOOKUP($F30,Stundensätze!$A$5:$C$43,$O30+1,FALSE)*1.093*1.3,VLOOKUP($F30,Stundensätze!$E$5:$G$43,$O30+1,FALSE)*1.093),0)</f>
        <v>0</v>
      </c>
      <c r="M30" s="20">
        <f t="shared" si="4"/>
        <v>0</v>
      </c>
      <c r="N30" s="20">
        <f t="shared" si="1"/>
        <v>0</v>
      </c>
      <c r="O30" s="32">
        <f t="shared" si="2"/>
        <v>2</v>
      </c>
      <c r="P30" s="33"/>
      <c r="Q30" s="33"/>
      <c r="R30" s="33"/>
    </row>
    <row r="31" spans="1:20" ht="15.75" customHeight="1" x14ac:dyDescent="0.35">
      <c r="A31" s="72"/>
      <c r="B31" s="72"/>
      <c r="C31" s="19">
        <f t="shared" si="0"/>
        <v>1</v>
      </c>
      <c r="D31" s="106"/>
      <c r="E31" s="87"/>
      <c r="F31" s="73"/>
      <c r="G31" s="108"/>
      <c r="H31" s="86"/>
      <c r="I31" s="87"/>
      <c r="J31" s="20">
        <f>IFERROR(IF(F31&gt;8,VLOOKUP($F31,Stundensätze!$A$5:$C$43,$O31+1,FALSE)*1.093*1.3,VLOOKUP($F31,Stundensätze!$A$5:$C$43,$O31+1,FALSE)*1.093),0)</f>
        <v>0</v>
      </c>
      <c r="K31" s="20">
        <f t="shared" si="3"/>
        <v>1527</v>
      </c>
      <c r="L31" s="20">
        <f>IFERROR(IF(F31&gt;8,VLOOKUP($F31,Stundensätze!$A$5:$C$43,$O31+1,FALSE)*1.093*1.3,VLOOKUP($F31,Stundensätze!$E$5:$G$43,$O31+1,FALSE)*1.093),0)</f>
        <v>0</v>
      </c>
      <c r="M31" s="20">
        <f t="shared" si="4"/>
        <v>0</v>
      </c>
      <c r="N31" s="20">
        <f t="shared" si="1"/>
        <v>0</v>
      </c>
      <c r="O31" s="32">
        <f t="shared" si="2"/>
        <v>2</v>
      </c>
      <c r="P31" s="33"/>
      <c r="Q31" s="33"/>
      <c r="R31" s="33"/>
    </row>
    <row r="32" spans="1:20" ht="15.75" customHeight="1" x14ac:dyDescent="0.35"/>
    <row r="33" spans="1:19" ht="15.75" customHeight="1" x14ac:dyDescent="0.35"/>
    <row r="34" spans="1:19" ht="15.75" customHeight="1" x14ac:dyDescent="0.45">
      <c r="A34" s="7" t="s">
        <v>28</v>
      </c>
      <c r="B34" s="8"/>
      <c r="C34" s="8"/>
      <c r="D34" s="8"/>
      <c r="E34" s="8"/>
      <c r="F34" s="8"/>
      <c r="G34" s="8"/>
      <c r="H34" s="8"/>
      <c r="I34" s="8"/>
      <c r="J34" s="109" t="s">
        <v>29</v>
      </c>
      <c r="K34" s="110"/>
      <c r="L34" s="111"/>
      <c r="M34" s="9"/>
      <c r="N34" s="10">
        <f>F38+F52+F66+F80</f>
        <v>0</v>
      </c>
    </row>
    <row r="35" spans="1:19" ht="15.75" customHeight="1" x14ac:dyDescent="0.35"/>
    <row r="36" spans="1:19" ht="15.75" customHeight="1" x14ac:dyDescent="0.45">
      <c r="A36" s="1" t="s">
        <v>30</v>
      </c>
    </row>
    <row r="37" spans="1:19" ht="15.75" customHeight="1" x14ac:dyDescent="0.35">
      <c r="A37" s="79" t="s">
        <v>31</v>
      </c>
      <c r="B37" s="80"/>
      <c r="C37" s="81"/>
      <c r="D37" s="107" t="s">
        <v>32</v>
      </c>
      <c r="E37" s="104" t="s">
        <v>33</v>
      </c>
      <c r="F37" s="34" t="s">
        <v>5</v>
      </c>
      <c r="G37" s="35"/>
      <c r="H37" s="79" t="s">
        <v>34</v>
      </c>
      <c r="I37" s="80"/>
      <c r="J37" s="80"/>
      <c r="K37" s="80"/>
      <c r="L37" s="80"/>
      <c r="M37" s="80"/>
      <c r="N37" s="81"/>
      <c r="P37" s="100" t="s">
        <v>212</v>
      </c>
      <c r="Q37" s="80"/>
      <c r="R37" s="80"/>
      <c r="S37" s="81"/>
    </row>
    <row r="38" spans="1:19" ht="15.75" customHeight="1" x14ac:dyDescent="0.35">
      <c r="A38" s="82"/>
      <c r="B38" s="83"/>
      <c r="C38" s="84"/>
      <c r="D38" s="99"/>
      <c r="E38" s="105"/>
      <c r="F38" s="22">
        <f>SUM(F39:F48)</f>
        <v>0</v>
      </c>
      <c r="H38" s="82"/>
      <c r="I38" s="83"/>
      <c r="J38" s="83"/>
      <c r="K38" s="83"/>
      <c r="L38" s="83"/>
      <c r="M38" s="83"/>
      <c r="N38" s="84"/>
      <c r="P38" s="101"/>
      <c r="Q38" s="102"/>
      <c r="R38" s="102"/>
      <c r="S38" s="103"/>
    </row>
    <row r="39" spans="1:19" ht="15.75" customHeight="1" x14ac:dyDescent="0.35">
      <c r="A39" s="85"/>
      <c r="B39" s="86"/>
      <c r="C39" s="87"/>
      <c r="D39" s="75"/>
      <c r="E39" s="76"/>
      <c r="F39" s="36">
        <f t="shared" ref="F39:F48" si="5">D39*E39</f>
        <v>0</v>
      </c>
      <c r="H39" s="88"/>
      <c r="I39" s="89"/>
      <c r="J39" s="89"/>
      <c r="K39" s="89"/>
      <c r="L39" s="89"/>
      <c r="M39" s="89"/>
      <c r="N39" s="90"/>
      <c r="P39" s="101"/>
      <c r="Q39" s="102"/>
      <c r="R39" s="102"/>
      <c r="S39" s="103"/>
    </row>
    <row r="40" spans="1:19" ht="15.75" customHeight="1" x14ac:dyDescent="0.35">
      <c r="A40" s="85"/>
      <c r="B40" s="86"/>
      <c r="C40" s="86"/>
      <c r="D40" s="77"/>
      <c r="E40" s="76"/>
      <c r="F40" s="37">
        <f t="shared" si="5"/>
        <v>0</v>
      </c>
      <c r="H40" s="91"/>
      <c r="I40" s="92"/>
      <c r="J40" s="92"/>
      <c r="K40" s="92"/>
      <c r="L40" s="92"/>
      <c r="M40" s="92"/>
      <c r="N40" s="93"/>
      <c r="P40" s="101"/>
      <c r="Q40" s="102"/>
      <c r="R40" s="102"/>
      <c r="S40" s="103"/>
    </row>
    <row r="41" spans="1:19" ht="15.75" customHeight="1" x14ac:dyDescent="0.35">
      <c r="A41" s="85"/>
      <c r="B41" s="86"/>
      <c r="C41" s="86"/>
      <c r="D41" s="77"/>
      <c r="E41" s="76"/>
      <c r="F41" s="37">
        <f t="shared" si="5"/>
        <v>0</v>
      </c>
      <c r="H41" s="91"/>
      <c r="I41" s="92"/>
      <c r="J41" s="92"/>
      <c r="K41" s="92"/>
      <c r="L41" s="92"/>
      <c r="M41" s="92"/>
      <c r="N41" s="93"/>
      <c r="P41" s="101"/>
      <c r="Q41" s="102"/>
      <c r="R41" s="102"/>
      <c r="S41" s="103"/>
    </row>
    <row r="42" spans="1:19" ht="15.75" customHeight="1" x14ac:dyDescent="0.35">
      <c r="A42" s="85"/>
      <c r="B42" s="86"/>
      <c r="C42" s="86"/>
      <c r="D42" s="77"/>
      <c r="E42" s="76"/>
      <c r="F42" s="37">
        <f t="shared" si="5"/>
        <v>0</v>
      </c>
      <c r="H42" s="91"/>
      <c r="I42" s="92"/>
      <c r="J42" s="92"/>
      <c r="K42" s="92"/>
      <c r="L42" s="92"/>
      <c r="M42" s="92"/>
      <c r="N42" s="93"/>
      <c r="P42" s="101"/>
      <c r="Q42" s="102"/>
      <c r="R42" s="102"/>
      <c r="S42" s="103"/>
    </row>
    <row r="43" spans="1:19" ht="15.75" customHeight="1" x14ac:dyDescent="0.35">
      <c r="A43" s="85"/>
      <c r="B43" s="86"/>
      <c r="C43" s="86"/>
      <c r="D43" s="77"/>
      <c r="E43" s="76"/>
      <c r="F43" s="37">
        <f t="shared" si="5"/>
        <v>0</v>
      </c>
      <c r="H43" s="91"/>
      <c r="I43" s="92"/>
      <c r="J43" s="92"/>
      <c r="K43" s="92"/>
      <c r="L43" s="92"/>
      <c r="M43" s="92"/>
      <c r="N43" s="93"/>
      <c r="P43" s="101"/>
      <c r="Q43" s="102"/>
      <c r="R43" s="102"/>
      <c r="S43" s="103"/>
    </row>
    <row r="44" spans="1:19" ht="15.75" customHeight="1" x14ac:dyDescent="0.35">
      <c r="A44" s="85"/>
      <c r="B44" s="86"/>
      <c r="C44" s="86"/>
      <c r="D44" s="77"/>
      <c r="E44" s="76"/>
      <c r="F44" s="37">
        <f t="shared" si="5"/>
        <v>0</v>
      </c>
      <c r="H44" s="91"/>
      <c r="I44" s="92"/>
      <c r="J44" s="92"/>
      <c r="K44" s="92"/>
      <c r="L44" s="92"/>
      <c r="M44" s="92"/>
      <c r="N44" s="93"/>
      <c r="P44" s="101"/>
      <c r="Q44" s="102"/>
      <c r="R44" s="102"/>
      <c r="S44" s="103"/>
    </row>
    <row r="45" spans="1:19" ht="15.75" customHeight="1" x14ac:dyDescent="0.35">
      <c r="A45" s="85"/>
      <c r="B45" s="86"/>
      <c r="C45" s="86"/>
      <c r="D45" s="77"/>
      <c r="E45" s="76"/>
      <c r="F45" s="37">
        <f t="shared" si="5"/>
        <v>0</v>
      </c>
      <c r="H45" s="91"/>
      <c r="I45" s="92"/>
      <c r="J45" s="92"/>
      <c r="K45" s="92"/>
      <c r="L45" s="92"/>
      <c r="M45" s="92"/>
      <c r="N45" s="93"/>
      <c r="P45" s="101"/>
      <c r="Q45" s="102"/>
      <c r="R45" s="102"/>
      <c r="S45" s="103"/>
    </row>
    <row r="46" spans="1:19" ht="15.75" customHeight="1" x14ac:dyDescent="0.35">
      <c r="A46" s="85"/>
      <c r="B46" s="86"/>
      <c r="C46" s="86"/>
      <c r="D46" s="77"/>
      <c r="E46" s="76"/>
      <c r="F46" s="37">
        <f t="shared" si="5"/>
        <v>0</v>
      </c>
      <c r="H46" s="91"/>
      <c r="I46" s="92"/>
      <c r="J46" s="92"/>
      <c r="K46" s="92"/>
      <c r="L46" s="92"/>
      <c r="M46" s="92"/>
      <c r="N46" s="93"/>
      <c r="P46" s="101"/>
      <c r="Q46" s="102"/>
      <c r="R46" s="102"/>
      <c r="S46" s="103"/>
    </row>
    <row r="47" spans="1:19" ht="15.75" customHeight="1" x14ac:dyDescent="0.35">
      <c r="A47" s="85"/>
      <c r="B47" s="86"/>
      <c r="C47" s="86"/>
      <c r="D47" s="77"/>
      <c r="E47" s="76"/>
      <c r="F47" s="37">
        <f t="shared" si="5"/>
        <v>0</v>
      </c>
      <c r="H47" s="91"/>
      <c r="I47" s="92"/>
      <c r="J47" s="92"/>
      <c r="K47" s="92"/>
      <c r="L47" s="92"/>
      <c r="M47" s="92"/>
      <c r="N47" s="93"/>
      <c r="P47" s="101"/>
      <c r="Q47" s="102"/>
      <c r="R47" s="102"/>
      <c r="S47" s="103"/>
    </row>
    <row r="48" spans="1:19" ht="15.75" customHeight="1" x14ac:dyDescent="0.35">
      <c r="A48" s="85"/>
      <c r="B48" s="86"/>
      <c r="C48" s="86"/>
      <c r="D48" s="77"/>
      <c r="E48" s="76"/>
      <c r="F48" s="37">
        <f t="shared" si="5"/>
        <v>0</v>
      </c>
      <c r="H48" s="94"/>
      <c r="I48" s="95"/>
      <c r="J48" s="95"/>
      <c r="K48" s="95"/>
      <c r="L48" s="95"/>
      <c r="M48" s="95"/>
      <c r="N48" s="96"/>
      <c r="P48" s="82"/>
      <c r="Q48" s="83"/>
      <c r="R48" s="83"/>
      <c r="S48" s="84"/>
    </row>
    <row r="49" spans="1:19" ht="15.75" customHeight="1" x14ac:dyDescent="0.35"/>
    <row r="50" spans="1:19" ht="15.75" customHeight="1" x14ac:dyDescent="0.45">
      <c r="A50" s="1" t="s">
        <v>35</v>
      </c>
    </row>
    <row r="51" spans="1:19" ht="15.75" customHeight="1" x14ac:dyDescent="0.35">
      <c r="A51" s="79" t="s">
        <v>31</v>
      </c>
      <c r="B51" s="80"/>
      <c r="C51" s="80"/>
      <c r="D51" s="81"/>
      <c r="E51" s="104" t="s">
        <v>36</v>
      </c>
      <c r="F51" s="34" t="s">
        <v>5</v>
      </c>
      <c r="H51" s="79" t="s">
        <v>34</v>
      </c>
      <c r="I51" s="80"/>
      <c r="J51" s="80"/>
      <c r="K51" s="80"/>
      <c r="L51" s="80"/>
      <c r="M51" s="80"/>
      <c r="N51" s="81"/>
      <c r="P51" s="100" t="s">
        <v>213</v>
      </c>
      <c r="Q51" s="80"/>
      <c r="R51" s="80"/>
      <c r="S51" s="81"/>
    </row>
    <row r="52" spans="1:19" ht="15.75" customHeight="1" x14ac:dyDescent="0.35">
      <c r="A52" s="82"/>
      <c r="B52" s="83"/>
      <c r="C52" s="83"/>
      <c r="D52" s="84"/>
      <c r="E52" s="105"/>
      <c r="F52" s="22">
        <f>SUM(E53:E62)</f>
        <v>0</v>
      </c>
      <c r="H52" s="82"/>
      <c r="I52" s="83"/>
      <c r="J52" s="83"/>
      <c r="K52" s="83"/>
      <c r="L52" s="83"/>
      <c r="M52" s="83"/>
      <c r="N52" s="84"/>
      <c r="P52" s="101"/>
      <c r="Q52" s="102"/>
      <c r="R52" s="102"/>
      <c r="S52" s="103"/>
    </row>
    <row r="53" spans="1:19" ht="15.75" customHeight="1" x14ac:dyDescent="0.35">
      <c r="A53" s="85"/>
      <c r="B53" s="86"/>
      <c r="C53" s="86"/>
      <c r="D53" s="87"/>
      <c r="E53" s="76"/>
      <c r="F53" s="97"/>
      <c r="H53" s="88"/>
      <c r="I53" s="89"/>
      <c r="J53" s="89"/>
      <c r="K53" s="89"/>
      <c r="L53" s="89"/>
      <c r="M53" s="89"/>
      <c r="N53" s="90"/>
      <c r="P53" s="101"/>
      <c r="Q53" s="102"/>
      <c r="R53" s="102"/>
      <c r="S53" s="103"/>
    </row>
    <row r="54" spans="1:19" ht="15.75" customHeight="1" x14ac:dyDescent="0.35">
      <c r="A54" s="85"/>
      <c r="B54" s="86"/>
      <c r="C54" s="86"/>
      <c r="D54" s="87"/>
      <c r="E54" s="76"/>
      <c r="F54" s="98"/>
      <c r="H54" s="91"/>
      <c r="I54" s="92"/>
      <c r="J54" s="92"/>
      <c r="K54" s="92"/>
      <c r="L54" s="92"/>
      <c r="M54" s="92"/>
      <c r="N54" s="93"/>
      <c r="P54" s="101"/>
      <c r="Q54" s="102"/>
      <c r="R54" s="102"/>
      <c r="S54" s="103"/>
    </row>
    <row r="55" spans="1:19" ht="15.75" customHeight="1" x14ac:dyDescent="0.35">
      <c r="A55" s="85"/>
      <c r="B55" s="86"/>
      <c r="C55" s="86"/>
      <c r="D55" s="87"/>
      <c r="E55" s="76"/>
      <c r="F55" s="98"/>
      <c r="H55" s="91"/>
      <c r="I55" s="92"/>
      <c r="J55" s="92"/>
      <c r="K55" s="92"/>
      <c r="L55" s="92"/>
      <c r="M55" s="92"/>
      <c r="N55" s="93"/>
      <c r="P55" s="101"/>
      <c r="Q55" s="102"/>
      <c r="R55" s="102"/>
      <c r="S55" s="103"/>
    </row>
    <row r="56" spans="1:19" ht="15.75" customHeight="1" x14ac:dyDescent="0.35">
      <c r="A56" s="85"/>
      <c r="B56" s="86"/>
      <c r="C56" s="86"/>
      <c r="D56" s="87"/>
      <c r="E56" s="76"/>
      <c r="F56" s="98"/>
      <c r="H56" s="91"/>
      <c r="I56" s="92"/>
      <c r="J56" s="92"/>
      <c r="K56" s="92"/>
      <c r="L56" s="92"/>
      <c r="M56" s="92"/>
      <c r="N56" s="93"/>
      <c r="P56" s="101"/>
      <c r="Q56" s="102"/>
      <c r="R56" s="102"/>
      <c r="S56" s="103"/>
    </row>
    <row r="57" spans="1:19" ht="15.75" customHeight="1" x14ac:dyDescent="0.35">
      <c r="A57" s="85"/>
      <c r="B57" s="86"/>
      <c r="C57" s="86"/>
      <c r="D57" s="87"/>
      <c r="E57" s="76"/>
      <c r="F57" s="98"/>
      <c r="H57" s="91"/>
      <c r="I57" s="92"/>
      <c r="J57" s="92"/>
      <c r="K57" s="92"/>
      <c r="L57" s="92"/>
      <c r="M57" s="92"/>
      <c r="N57" s="93"/>
      <c r="P57" s="101"/>
      <c r="Q57" s="102"/>
      <c r="R57" s="102"/>
      <c r="S57" s="103"/>
    </row>
    <row r="58" spans="1:19" ht="15.75" customHeight="1" x14ac:dyDescent="0.35">
      <c r="A58" s="85"/>
      <c r="B58" s="86"/>
      <c r="C58" s="86"/>
      <c r="D58" s="87"/>
      <c r="E58" s="76"/>
      <c r="F58" s="98"/>
      <c r="H58" s="91"/>
      <c r="I58" s="92"/>
      <c r="J58" s="92"/>
      <c r="K58" s="92"/>
      <c r="L58" s="92"/>
      <c r="M58" s="92"/>
      <c r="N58" s="93"/>
      <c r="P58" s="101"/>
      <c r="Q58" s="102"/>
      <c r="R58" s="102"/>
      <c r="S58" s="103"/>
    </row>
    <row r="59" spans="1:19" ht="15.75" customHeight="1" x14ac:dyDescent="0.35">
      <c r="A59" s="85"/>
      <c r="B59" s="86"/>
      <c r="C59" s="86"/>
      <c r="D59" s="87"/>
      <c r="E59" s="76"/>
      <c r="F59" s="98"/>
      <c r="H59" s="91"/>
      <c r="I59" s="92"/>
      <c r="J59" s="92"/>
      <c r="K59" s="92"/>
      <c r="L59" s="92"/>
      <c r="M59" s="92"/>
      <c r="N59" s="93"/>
      <c r="P59" s="101"/>
      <c r="Q59" s="102"/>
      <c r="R59" s="102"/>
      <c r="S59" s="103"/>
    </row>
    <row r="60" spans="1:19" ht="15.75" customHeight="1" x14ac:dyDescent="0.35">
      <c r="A60" s="85"/>
      <c r="B60" s="86"/>
      <c r="C60" s="86"/>
      <c r="D60" s="87"/>
      <c r="E60" s="76"/>
      <c r="F60" s="98"/>
      <c r="H60" s="91"/>
      <c r="I60" s="92"/>
      <c r="J60" s="92"/>
      <c r="K60" s="92"/>
      <c r="L60" s="92"/>
      <c r="M60" s="92"/>
      <c r="N60" s="93"/>
      <c r="P60" s="101"/>
      <c r="Q60" s="102"/>
      <c r="R60" s="102"/>
      <c r="S60" s="103"/>
    </row>
    <row r="61" spans="1:19" ht="15.75" customHeight="1" x14ac:dyDescent="0.35">
      <c r="A61" s="85"/>
      <c r="B61" s="86"/>
      <c r="C61" s="86"/>
      <c r="D61" s="87"/>
      <c r="E61" s="76"/>
      <c r="F61" s="98"/>
      <c r="H61" s="91"/>
      <c r="I61" s="92"/>
      <c r="J61" s="92"/>
      <c r="K61" s="92"/>
      <c r="L61" s="92"/>
      <c r="M61" s="92"/>
      <c r="N61" s="93"/>
      <c r="P61" s="101"/>
      <c r="Q61" s="102"/>
      <c r="R61" s="102"/>
      <c r="S61" s="103"/>
    </row>
    <row r="62" spans="1:19" ht="15.75" customHeight="1" x14ac:dyDescent="0.35">
      <c r="A62" s="85"/>
      <c r="B62" s="86"/>
      <c r="C62" s="86"/>
      <c r="D62" s="87"/>
      <c r="E62" s="76"/>
      <c r="F62" s="99"/>
      <c r="H62" s="94"/>
      <c r="I62" s="95"/>
      <c r="J62" s="95"/>
      <c r="K62" s="95"/>
      <c r="L62" s="95"/>
      <c r="M62" s="95"/>
      <c r="N62" s="96"/>
      <c r="P62" s="82"/>
      <c r="Q62" s="83"/>
      <c r="R62" s="83"/>
      <c r="S62" s="84"/>
    </row>
    <row r="63" spans="1:19" ht="15.75" customHeight="1" x14ac:dyDescent="0.35"/>
    <row r="64" spans="1:19" ht="15.75" customHeight="1" x14ac:dyDescent="0.45">
      <c r="A64" s="1" t="s">
        <v>39</v>
      </c>
    </row>
    <row r="65" spans="1:19" ht="15" customHeight="1" x14ac:dyDescent="0.35">
      <c r="A65" s="79" t="s">
        <v>31</v>
      </c>
      <c r="B65" s="80"/>
      <c r="C65" s="80"/>
      <c r="D65" s="81"/>
      <c r="E65" s="104" t="s">
        <v>36</v>
      </c>
      <c r="F65" s="34" t="s">
        <v>5</v>
      </c>
      <c r="H65" s="79" t="s">
        <v>34</v>
      </c>
      <c r="I65" s="80"/>
      <c r="J65" s="80"/>
      <c r="K65" s="80"/>
      <c r="L65" s="80"/>
      <c r="M65" s="80"/>
      <c r="N65" s="81"/>
      <c r="P65" s="100" t="s">
        <v>40</v>
      </c>
      <c r="Q65" s="80"/>
      <c r="R65" s="80"/>
      <c r="S65" s="81"/>
    </row>
    <row r="66" spans="1:19" ht="15.75" customHeight="1" x14ac:dyDescent="0.35">
      <c r="A66" s="82"/>
      <c r="B66" s="83"/>
      <c r="C66" s="83"/>
      <c r="D66" s="84"/>
      <c r="E66" s="105"/>
      <c r="F66" s="22">
        <f>SUM(E67:E76)</f>
        <v>0</v>
      </c>
      <c r="H66" s="82"/>
      <c r="I66" s="83"/>
      <c r="J66" s="83"/>
      <c r="K66" s="83"/>
      <c r="L66" s="83"/>
      <c r="M66" s="83"/>
      <c r="N66" s="84"/>
      <c r="P66" s="101"/>
      <c r="Q66" s="102"/>
      <c r="R66" s="102"/>
      <c r="S66" s="103"/>
    </row>
    <row r="67" spans="1:19" ht="15.75" customHeight="1" x14ac:dyDescent="0.35">
      <c r="A67" s="85"/>
      <c r="B67" s="86"/>
      <c r="C67" s="86"/>
      <c r="D67" s="87"/>
      <c r="E67" s="76"/>
      <c r="F67" s="97"/>
      <c r="H67" s="88"/>
      <c r="I67" s="89"/>
      <c r="J67" s="89"/>
      <c r="K67" s="89"/>
      <c r="L67" s="89"/>
      <c r="M67" s="89"/>
      <c r="N67" s="90"/>
      <c r="P67" s="101"/>
      <c r="Q67" s="102"/>
      <c r="R67" s="102"/>
      <c r="S67" s="103"/>
    </row>
    <row r="68" spans="1:19" ht="15.75" customHeight="1" x14ac:dyDescent="0.35">
      <c r="A68" s="85"/>
      <c r="B68" s="86"/>
      <c r="C68" s="86"/>
      <c r="D68" s="87"/>
      <c r="E68" s="76"/>
      <c r="F68" s="98"/>
      <c r="H68" s="91"/>
      <c r="I68" s="92"/>
      <c r="J68" s="92"/>
      <c r="K68" s="92"/>
      <c r="L68" s="92"/>
      <c r="M68" s="92"/>
      <c r="N68" s="93"/>
      <c r="P68" s="101"/>
      <c r="Q68" s="102"/>
      <c r="R68" s="102"/>
      <c r="S68" s="103"/>
    </row>
    <row r="69" spans="1:19" ht="15.75" customHeight="1" x14ac:dyDescent="0.35">
      <c r="A69" s="85"/>
      <c r="B69" s="86"/>
      <c r="C69" s="86"/>
      <c r="D69" s="87"/>
      <c r="E69" s="76"/>
      <c r="F69" s="98"/>
      <c r="H69" s="91"/>
      <c r="I69" s="92"/>
      <c r="J69" s="92"/>
      <c r="K69" s="92"/>
      <c r="L69" s="92"/>
      <c r="M69" s="92"/>
      <c r="N69" s="93"/>
      <c r="P69" s="101"/>
      <c r="Q69" s="102"/>
      <c r="R69" s="102"/>
      <c r="S69" s="103"/>
    </row>
    <row r="70" spans="1:19" ht="15.75" customHeight="1" x14ac:dyDescent="0.35">
      <c r="A70" s="85"/>
      <c r="B70" s="86"/>
      <c r="C70" s="86"/>
      <c r="D70" s="87"/>
      <c r="E70" s="76"/>
      <c r="F70" s="98"/>
      <c r="H70" s="91"/>
      <c r="I70" s="92"/>
      <c r="J70" s="92"/>
      <c r="K70" s="92"/>
      <c r="L70" s="92"/>
      <c r="M70" s="92"/>
      <c r="N70" s="93"/>
      <c r="P70" s="101"/>
      <c r="Q70" s="102"/>
      <c r="R70" s="102"/>
      <c r="S70" s="103"/>
    </row>
    <row r="71" spans="1:19" ht="15.75" customHeight="1" x14ac:dyDescent="0.35">
      <c r="A71" s="85"/>
      <c r="B71" s="86"/>
      <c r="C71" s="86"/>
      <c r="D71" s="87"/>
      <c r="E71" s="76"/>
      <c r="F71" s="98"/>
      <c r="H71" s="91"/>
      <c r="I71" s="92"/>
      <c r="J71" s="92"/>
      <c r="K71" s="92"/>
      <c r="L71" s="92"/>
      <c r="M71" s="92"/>
      <c r="N71" s="93"/>
      <c r="P71" s="101"/>
      <c r="Q71" s="102"/>
      <c r="R71" s="102"/>
      <c r="S71" s="103"/>
    </row>
    <row r="72" spans="1:19" ht="15.75" customHeight="1" x14ac:dyDescent="0.35">
      <c r="A72" s="85"/>
      <c r="B72" s="86"/>
      <c r="C72" s="86"/>
      <c r="D72" s="87"/>
      <c r="E72" s="76"/>
      <c r="F72" s="98"/>
      <c r="H72" s="91"/>
      <c r="I72" s="92"/>
      <c r="J72" s="92"/>
      <c r="K72" s="92"/>
      <c r="L72" s="92"/>
      <c r="M72" s="92"/>
      <c r="N72" s="93"/>
      <c r="P72" s="101"/>
      <c r="Q72" s="102"/>
      <c r="R72" s="102"/>
      <c r="S72" s="103"/>
    </row>
    <row r="73" spans="1:19" ht="15.75" customHeight="1" x14ac:dyDescent="0.35">
      <c r="A73" s="85"/>
      <c r="B73" s="86"/>
      <c r="C73" s="86"/>
      <c r="D73" s="87"/>
      <c r="E73" s="76"/>
      <c r="F73" s="98"/>
      <c r="H73" s="91"/>
      <c r="I73" s="92"/>
      <c r="J73" s="92"/>
      <c r="K73" s="92"/>
      <c r="L73" s="92"/>
      <c r="M73" s="92"/>
      <c r="N73" s="93"/>
      <c r="P73" s="101"/>
      <c r="Q73" s="102"/>
      <c r="R73" s="102"/>
      <c r="S73" s="103"/>
    </row>
    <row r="74" spans="1:19" ht="15.75" customHeight="1" x14ac:dyDescent="0.35">
      <c r="A74" s="85"/>
      <c r="B74" s="86"/>
      <c r="C74" s="86"/>
      <c r="D74" s="87"/>
      <c r="E74" s="76"/>
      <c r="F74" s="98"/>
      <c r="H74" s="91"/>
      <c r="I74" s="92"/>
      <c r="J74" s="92"/>
      <c r="K74" s="92"/>
      <c r="L74" s="92"/>
      <c r="M74" s="92"/>
      <c r="N74" s="93"/>
      <c r="P74" s="101"/>
      <c r="Q74" s="102"/>
      <c r="R74" s="102"/>
      <c r="S74" s="103"/>
    </row>
    <row r="75" spans="1:19" ht="15.75" customHeight="1" x14ac:dyDescent="0.35">
      <c r="A75" s="85"/>
      <c r="B75" s="86"/>
      <c r="C75" s="86"/>
      <c r="D75" s="87"/>
      <c r="E75" s="76"/>
      <c r="F75" s="98"/>
      <c r="H75" s="91"/>
      <c r="I75" s="92"/>
      <c r="J75" s="92"/>
      <c r="K75" s="92"/>
      <c r="L75" s="92"/>
      <c r="M75" s="92"/>
      <c r="N75" s="93"/>
      <c r="P75" s="101"/>
      <c r="Q75" s="102"/>
      <c r="R75" s="102"/>
      <c r="S75" s="103"/>
    </row>
    <row r="76" spans="1:19" ht="15.75" customHeight="1" x14ac:dyDescent="0.35">
      <c r="A76" s="85"/>
      <c r="B76" s="86"/>
      <c r="C76" s="86"/>
      <c r="D76" s="87"/>
      <c r="E76" s="76"/>
      <c r="F76" s="99"/>
      <c r="H76" s="94"/>
      <c r="I76" s="95"/>
      <c r="J76" s="95"/>
      <c r="K76" s="95"/>
      <c r="L76" s="95"/>
      <c r="M76" s="95"/>
      <c r="N76" s="96"/>
      <c r="P76" s="82"/>
      <c r="Q76" s="83"/>
      <c r="R76" s="83"/>
      <c r="S76" s="84"/>
    </row>
    <row r="77" spans="1:19" ht="15.75" customHeight="1" x14ac:dyDescent="0.35"/>
    <row r="78" spans="1:19" ht="15.75" customHeight="1" x14ac:dyDescent="0.45">
      <c r="A78" s="1" t="s">
        <v>41</v>
      </c>
    </row>
    <row r="79" spans="1:19" ht="15.75" customHeight="1" x14ac:dyDescent="0.35">
      <c r="A79" s="79" t="s">
        <v>31</v>
      </c>
      <c r="B79" s="80"/>
      <c r="C79" s="80"/>
      <c r="D79" s="81"/>
      <c r="E79" s="104" t="s">
        <v>36</v>
      </c>
      <c r="F79" s="34" t="s">
        <v>5</v>
      </c>
      <c r="H79" s="79" t="s">
        <v>34</v>
      </c>
      <c r="I79" s="80"/>
      <c r="J79" s="80"/>
      <c r="K79" s="80"/>
      <c r="L79" s="80"/>
      <c r="M79" s="80"/>
      <c r="N79" s="81"/>
    </row>
    <row r="80" spans="1:19" ht="15.75" customHeight="1" x14ac:dyDescent="0.35">
      <c r="A80" s="82"/>
      <c r="B80" s="83"/>
      <c r="C80" s="83"/>
      <c r="D80" s="84"/>
      <c r="E80" s="105"/>
      <c r="F80" s="22">
        <f>SUM(E81:E91)</f>
        <v>0</v>
      </c>
      <c r="H80" s="82"/>
      <c r="I80" s="83"/>
      <c r="J80" s="83"/>
      <c r="K80" s="83"/>
      <c r="L80" s="83"/>
      <c r="M80" s="83"/>
      <c r="N80" s="84"/>
    </row>
    <row r="81" spans="1:14" ht="15.75" customHeight="1" x14ac:dyDescent="0.35">
      <c r="A81" s="85"/>
      <c r="B81" s="86"/>
      <c r="C81" s="86"/>
      <c r="D81" s="87"/>
      <c r="E81" s="76"/>
      <c r="F81" s="97"/>
      <c r="H81" s="88"/>
      <c r="I81" s="89"/>
      <c r="J81" s="89"/>
      <c r="K81" s="89"/>
      <c r="L81" s="89"/>
      <c r="M81" s="89"/>
      <c r="N81" s="90"/>
    </row>
    <row r="82" spans="1:14" ht="15.75" customHeight="1" x14ac:dyDescent="0.35">
      <c r="A82" s="85"/>
      <c r="B82" s="86"/>
      <c r="C82" s="86"/>
      <c r="D82" s="87"/>
      <c r="E82" s="76"/>
      <c r="F82" s="98"/>
      <c r="H82" s="91"/>
      <c r="I82" s="92"/>
      <c r="J82" s="92"/>
      <c r="K82" s="92"/>
      <c r="L82" s="92"/>
      <c r="M82" s="92"/>
      <c r="N82" s="93"/>
    </row>
    <row r="83" spans="1:14" ht="15.75" customHeight="1" x14ac:dyDescent="0.35">
      <c r="A83" s="85"/>
      <c r="B83" s="86"/>
      <c r="C83" s="86"/>
      <c r="D83" s="87"/>
      <c r="E83" s="76"/>
      <c r="F83" s="98"/>
      <c r="H83" s="91"/>
      <c r="I83" s="92"/>
      <c r="J83" s="92"/>
      <c r="K83" s="92"/>
      <c r="L83" s="92"/>
      <c r="M83" s="92"/>
      <c r="N83" s="93"/>
    </row>
    <row r="84" spans="1:14" ht="15.75" customHeight="1" x14ac:dyDescent="0.35">
      <c r="A84" s="85"/>
      <c r="B84" s="86"/>
      <c r="C84" s="86"/>
      <c r="D84" s="87"/>
      <c r="E84" s="76"/>
      <c r="F84" s="98"/>
      <c r="H84" s="91"/>
      <c r="I84" s="92"/>
      <c r="J84" s="92"/>
      <c r="K84" s="92"/>
      <c r="L84" s="92"/>
      <c r="M84" s="92"/>
      <c r="N84" s="93"/>
    </row>
    <row r="85" spans="1:14" ht="15.75" customHeight="1" x14ac:dyDescent="0.35">
      <c r="A85" s="85"/>
      <c r="B85" s="86"/>
      <c r="C85" s="86"/>
      <c r="D85" s="87"/>
      <c r="E85" s="76"/>
      <c r="F85" s="98"/>
      <c r="H85" s="91"/>
      <c r="I85" s="92"/>
      <c r="J85" s="92"/>
      <c r="K85" s="92"/>
      <c r="L85" s="92"/>
      <c r="M85" s="92"/>
      <c r="N85" s="93"/>
    </row>
    <row r="86" spans="1:14" ht="15.75" customHeight="1" x14ac:dyDescent="0.35">
      <c r="A86" s="85"/>
      <c r="B86" s="86"/>
      <c r="C86" s="86"/>
      <c r="D86" s="87"/>
      <c r="E86" s="76"/>
      <c r="F86" s="98"/>
      <c r="H86" s="91"/>
      <c r="I86" s="92"/>
      <c r="J86" s="92"/>
      <c r="K86" s="92"/>
      <c r="L86" s="92"/>
      <c r="M86" s="92"/>
      <c r="N86" s="93"/>
    </row>
    <row r="87" spans="1:14" ht="15.75" customHeight="1" x14ac:dyDescent="0.35">
      <c r="A87" s="85"/>
      <c r="B87" s="86"/>
      <c r="C87" s="86"/>
      <c r="D87" s="87"/>
      <c r="E87" s="76"/>
      <c r="F87" s="98"/>
      <c r="H87" s="91"/>
      <c r="I87" s="92"/>
      <c r="J87" s="92"/>
      <c r="K87" s="92"/>
      <c r="L87" s="92"/>
      <c r="M87" s="92"/>
      <c r="N87" s="93"/>
    </row>
    <row r="88" spans="1:14" ht="15.75" customHeight="1" x14ac:dyDescent="0.35">
      <c r="A88" s="85"/>
      <c r="B88" s="86"/>
      <c r="C88" s="86"/>
      <c r="D88" s="87"/>
      <c r="E88" s="76"/>
      <c r="F88" s="98"/>
      <c r="H88" s="91"/>
      <c r="I88" s="92"/>
      <c r="J88" s="92"/>
      <c r="K88" s="92"/>
      <c r="L88" s="92"/>
      <c r="M88" s="92"/>
      <c r="N88" s="93"/>
    </row>
    <row r="89" spans="1:14" ht="15.75" customHeight="1" x14ac:dyDescent="0.35">
      <c r="A89" s="85"/>
      <c r="B89" s="86"/>
      <c r="C89" s="86"/>
      <c r="D89" s="87"/>
      <c r="E89" s="76"/>
      <c r="F89" s="98"/>
      <c r="H89" s="91"/>
      <c r="I89" s="92"/>
      <c r="J89" s="92"/>
      <c r="K89" s="92"/>
      <c r="L89" s="92"/>
      <c r="M89" s="92"/>
      <c r="N89" s="93"/>
    </row>
    <row r="90" spans="1:14" ht="15.75" customHeight="1" x14ac:dyDescent="0.35">
      <c r="A90" s="85"/>
      <c r="B90" s="86"/>
      <c r="C90" s="86"/>
      <c r="D90" s="87"/>
      <c r="E90" s="76"/>
      <c r="F90" s="98"/>
      <c r="H90" s="91"/>
      <c r="I90" s="92"/>
      <c r="J90" s="92"/>
      <c r="K90" s="92"/>
      <c r="L90" s="92"/>
      <c r="M90" s="92"/>
      <c r="N90" s="93"/>
    </row>
    <row r="91" spans="1:14" ht="15.75" customHeight="1" x14ac:dyDescent="0.35">
      <c r="A91" s="85"/>
      <c r="B91" s="86"/>
      <c r="C91" s="86"/>
      <c r="D91" s="87"/>
      <c r="E91" s="76"/>
      <c r="F91" s="99"/>
      <c r="H91" s="94"/>
      <c r="I91" s="95"/>
      <c r="J91" s="95"/>
      <c r="K91" s="95"/>
      <c r="L91" s="95"/>
      <c r="M91" s="95"/>
      <c r="N91" s="96"/>
    </row>
    <row r="92" spans="1:14" ht="15.75" customHeight="1" x14ac:dyDescent="0.35"/>
    <row r="93" spans="1:14" ht="15.75" customHeight="1" x14ac:dyDescent="0.35"/>
    <row r="94" spans="1:14" ht="15.75" customHeight="1" x14ac:dyDescent="0.35"/>
    <row r="95" spans="1:14" ht="15.75" customHeight="1" x14ac:dyDescent="0.35"/>
    <row r="96" spans="1:14" ht="15.75" customHeight="1" x14ac:dyDescent="0.35"/>
    <row r="97" customFormat="1" ht="15.75" customHeight="1" x14ac:dyDescent="0.35"/>
    <row r="98" customFormat="1" ht="15.75" customHeight="1" x14ac:dyDescent="0.35"/>
    <row r="99" customFormat="1" ht="15.75" customHeight="1" x14ac:dyDescent="0.35"/>
    <row r="100" customFormat="1" ht="15.75" customHeight="1" x14ac:dyDescent="0.35"/>
    <row r="101" customFormat="1" ht="15.75" customHeight="1" x14ac:dyDescent="0.35"/>
    <row r="102" customFormat="1" ht="15.75" customHeight="1" x14ac:dyDescent="0.35"/>
    <row r="103" customFormat="1" ht="15.75" customHeight="1" x14ac:dyDescent="0.35"/>
    <row r="104" customFormat="1" ht="15.75" customHeight="1" x14ac:dyDescent="0.35"/>
    <row r="105" customFormat="1" ht="15.75" customHeight="1" x14ac:dyDescent="0.35"/>
    <row r="106" customFormat="1" ht="15.75" customHeight="1" x14ac:dyDescent="0.35"/>
    <row r="107" customFormat="1" ht="15.75" customHeight="1" x14ac:dyDescent="0.35"/>
    <row r="108" customFormat="1" ht="15.75" customHeight="1" x14ac:dyDescent="0.35"/>
    <row r="109" customFormat="1" ht="15.75" customHeight="1" x14ac:dyDescent="0.35"/>
    <row r="110" customFormat="1" ht="15.75" customHeight="1" x14ac:dyDescent="0.35"/>
    <row r="111" customFormat="1" ht="15.75" customHeight="1" x14ac:dyDescent="0.35"/>
    <row r="112" customFormat="1" ht="15.75" customHeight="1" x14ac:dyDescent="0.35"/>
    <row r="113" customFormat="1" ht="15.75" customHeight="1" x14ac:dyDescent="0.35"/>
    <row r="114" customFormat="1" ht="15.75" customHeight="1" x14ac:dyDescent="0.35"/>
    <row r="115" customFormat="1" ht="15.75" customHeight="1" x14ac:dyDescent="0.35"/>
    <row r="116" customFormat="1" ht="15.75" customHeight="1" x14ac:dyDescent="0.35"/>
    <row r="117" customFormat="1" ht="15.75" customHeight="1" x14ac:dyDescent="0.35"/>
    <row r="118" customFormat="1" ht="15.75" customHeight="1" x14ac:dyDescent="0.35"/>
    <row r="119" customFormat="1" ht="15.75" customHeight="1" x14ac:dyDescent="0.35"/>
    <row r="120" customFormat="1" ht="15.75" customHeight="1" x14ac:dyDescent="0.35"/>
    <row r="121" customFormat="1" ht="15.75" customHeight="1" x14ac:dyDescent="0.35"/>
    <row r="122" customFormat="1" ht="15.75" customHeight="1" x14ac:dyDescent="0.35"/>
    <row r="123" customFormat="1" ht="15.75" customHeight="1" x14ac:dyDescent="0.35"/>
    <row r="124" customFormat="1" ht="15.75" customHeight="1" x14ac:dyDescent="0.35"/>
    <row r="125" customFormat="1" ht="15.75" customHeight="1" x14ac:dyDescent="0.35"/>
    <row r="126" customFormat="1" ht="15.75" customHeight="1" x14ac:dyDescent="0.35"/>
    <row r="127" customFormat="1" ht="15.75" customHeight="1" x14ac:dyDescent="0.35"/>
    <row r="128" customFormat="1" ht="15.75" customHeight="1" x14ac:dyDescent="0.35"/>
    <row r="129" customFormat="1" ht="15.75" customHeight="1" x14ac:dyDescent="0.35"/>
    <row r="130" customFormat="1" ht="15.75" customHeight="1" x14ac:dyDescent="0.35"/>
    <row r="131" customFormat="1" ht="15.75" customHeight="1" x14ac:dyDescent="0.35"/>
    <row r="132" customFormat="1" ht="15.75" customHeight="1" x14ac:dyDescent="0.35"/>
    <row r="133" customFormat="1" ht="15.75" customHeight="1" x14ac:dyDescent="0.35"/>
    <row r="134" customFormat="1" ht="15.75" customHeight="1" x14ac:dyDescent="0.35"/>
    <row r="135" customFormat="1" ht="15.75" customHeight="1" x14ac:dyDescent="0.35"/>
    <row r="136" customFormat="1" ht="15.75" customHeight="1" x14ac:dyDescent="0.35"/>
    <row r="137" customFormat="1" ht="15.75" customHeight="1" x14ac:dyDescent="0.35"/>
    <row r="138" customFormat="1" ht="15.75" customHeight="1" x14ac:dyDescent="0.35"/>
    <row r="139" customFormat="1" ht="15.75" customHeight="1" x14ac:dyDescent="0.35"/>
    <row r="140" customFormat="1" ht="15.75" customHeight="1" x14ac:dyDescent="0.35"/>
    <row r="141" customFormat="1" ht="15.75" customHeight="1" x14ac:dyDescent="0.35"/>
    <row r="142" customFormat="1" ht="15.75" customHeight="1" x14ac:dyDescent="0.35"/>
    <row r="143" customFormat="1" ht="15.75" customHeight="1" x14ac:dyDescent="0.35"/>
    <row r="144" customFormat="1" ht="15.75" customHeight="1" x14ac:dyDescent="0.35"/>
    <row r="145" customFormat="1" ht="15.75" customHeight="1" x14ac:dyDescent="0.35"/>
    <row r="146" customFormat="1" ht="15.75" customHeight="1" x14ac:dyDescent="0.35"/>
    <row r="147" customFormat="1" ht="15.75" customHeight="1" x14ac:dyDescent="0.35"/>
    <row r="148" customFormat="1" ht="15.75" customHeight="1" x14ac:dyDescent="0.35"/>
    <row r="149" customFormat="1" ht="15.75" customHeight="1" x14ac:dyDescent="0.35"/>
    <row r="150" customFormat="1" ht="15.75" customHeight="1" x14ac:dyDescent="0.35"/>
    <row r="151" customFormat="1" ht="15.75" customHeight="1" x14ac:dyDescent="0.35"/>
    <row r="152" customFormat="1" ht="15.75" customHeight="1" x14ac:dyDescent="0.35"/>
    <row r="153" customFormat="1" ht="15.75" customHeight="1" x14ac:dyDescent="0.35"/>
    <row r="154" customFormat="1" ht="15.75" customHeight="1" x14ac:dyDescent="0.35"/>
    <row r="155" customFormat="1" ht="15.75" customHeight="1" x14ac:dyDescent="0.35"/>
    <row r="156" customFormat="1" ht="15.75" customHeight="1" x14ac:dyDescent="0.35"/>
    <row r="157" customFormat="1" ht="15.75" customHeight="1" x14ac:dyDescent="0.35"/>
    <row r="158" customFormat="1" ht="15.75" customHeight="1" x14ac:dyDescent="0.35"/>
    <row r="159" customFormat="1" ht="15.75" customHeight="1" x14ac:dyDescent="0.35"/>
    <row r="160" customFormat="1" ht="15.75" customHeight="1" x14ac:dyDescent="0.35"/>
    <row r="161" customFormat="1" ht="15.75" customHeight="1" x14ac:dyDescent="0.35"/>
    <row r="162" customFormat="1" ht="15.75" customHeight="1" x14ac:dyDescent="0.35"/>
    <row r="163" customFormat="1" ht="15.75" customHeight="1" x14ac:dyDescent="0.35"/>
    <row r="164" customFormat="1" ht="15.75" customHeight="1" x14ac:dyDescent="0.35"/>
    <row r="165" customFormat="1" ht="15.75" customHeight="1" x14ac:dyDescent="0.35"/>
    <row r="166" customFormat="1" ht="15.75" customHeight="1" x14ac:dyDescent="0.35"/>
    <row r="167" customFormat="1" ht="15.75" customHeight="1" x14ac:dyDescent="0.35"/>
    <row r="168" customFormat="1" ht="15.75" customHeight="1" x14ac:dyDescent="0.35"/>
    <row r="169" customFormat="1" ht="15.75" customHeight="1" x14ac:dyDescent="0.35"/>
    <row r="170" customFormat="1" ht="15.75" customHeight="1" x14ac:dyDescent="0.35"/>
    <row r="171" customFormat="1" ht="15.75" customHeight="1" x14ac:dyDescent="0.35"/>
    <row r="172" customFormat="1" ht="15.75" customHeight="1" x14ac:dyDescent="0.35"/>
    <row r="173" customFormat="1" ht="15.75" customHeight="1" x14ac:dyDescent="0.35"/>
    <row r="174" customFormat="1" ht="15.75" customHeight="1" x14ac:dyDescent="0.35"/>
    <row r="175" customFormat="1" ht="15.75" customHeight="1" x14ac:dyDescent="0.35"/>
    <row r="176" customFormat="1" ht="15.75" customHeight="1" x14ac:dyDescent="0.35"/>
    <row r="177" customFormat="1" ht="15.75" customHeight="1" x14ac:dyDescent="0.35"/>
    <row r="178" customFormat="1" ht="15.75" customHeight="1" x14ac:dyDescent="0.35"/>
    <row r="179" customFormat="1" ht="15.75" customHeight="1" x14ac:dyDescent="0.35"/>
    <row r="180" customFormat="1" ht="15.75" customHeight="1" x14ac:dyDescent="0.35"/>
    <row r="181" customFormat="1" ht="15.75" customHeight="1" x14ac:dyDescent="0.35"/>
    <row r="182" customFormat="1" ht="15.75" customHeight="1" x14ac:dyDescent="0.35"/>
    <row r="183" customFormat="1" ht="15.75" customHeight="1" x14ac:dyDescent="0.35"/>
    <row r="184" customFormat="1" ht="15.75" customHeight="1" x14ac:dyDescent="0.35"/>
    <row r="185" customFormat="1" ht="15.75" customHeight="1" x14ac:dyDescent="0.35"/>
    <row r="186" customFormat="1" ht="15.75" customHeight="1" x14ac:dyDescent="0.35"/>
    <row r="187" customFormat="1" ht="15.75" customHeight="1" x14ac:dyDescent="0.35"/>
    <row r="188" customFormat="1" ht="15.75" customHeight="1" x14ac:dyDescent="0.35"/>
    <row r="189" customFormat="1" ht="15.75" customHeight="1" x14ac:dyDescent="0.35"/>
    <row r="190" customFormat="1" ht="15.75" customHeight="1" x14ac:dyDescent="0.35"/>
    <row r="191" customFormat="1" ht="15.75" customHeight="1" x14ac:dyDescent="0.35"/>
    <row r="192" customFormat="1" ht="15.75" customHeight="1" x14ac:dyDescent="0.35"/>
    <row r="193" customFormat="1" ht="15.75" customHeight="1" x14ac:dyDescent="0.35"/>
    <row r="194" customFormat="1" ht="15.75" customHeight="1" x14ac:dyDescent="0.35"/>
    <row r="195" customFormat="1" ht="15.75" customHeight="1" x14ac:dyDescent="0.35"/>
    <row r="196" customFormat="1" ht="15.75" customHeight="1" x14ac:dyDescent="0.35"/>
    <row r="197" customFormat="1" ht="15.75" customHeight="1" x14ac:dyDescent="0.35"/>
    <row r="198" customFormat="1" ht="15.75" customHeight="1" x14ac:dyDescent="0.35"/>
    <row r="199" customFormat="1" ht="15.75" customHeight="1" x14ac:dyDescent="0.35"/>
    <row r="200" customFormat="1" ht="15.75" customHeight="1" x14ac:dyDescent="0.35"/>
    <row r="201" customFormat="1" ht="15.75" customHeight="1" x14ac:dyDescent="0.35"/>
    <row r="202" customFormat="1" ht="15.75" customHeight="1" x14ac:dyDescent="0.35"/>
    <row r="203" customFormat="1" ht="15.75" customHeight="1" x14ac:dyDescent="0.35"/>
    <row r="204" customFormat="1" ht="15.75" customHeight="1" x14ac:dyDescent="0.35"/>
    <row r="205" customFormat="1" ht="15.75" customHeight="1" x14ac:dyDescent="0.35"/>
    <row r="206" customFormat="1" ht="15.75" customHeight="1" x14ac:dyDescent="0.35"/>
    <row r="207" customFormat="1" ht="15.75" customHeight="1" x14ac:dyDescent="0.35"/>
    <row r="208" customFormat="1" ht="15.75" customHeight="1" x14ac:dyDescent="0.35"/>
    <row r="209" customFormat="1" ht="15.75" customHeight="1" x14ac:dyDescent="0.35"/>
    <row r="210" customFormat="1" ht="15.75" customHeight="1" x14ac:dyDescent="0.35"/>
    <row r="211" customFormat="1" ht="15.75" customHeight="1" x14ac:dyDescent="0.35"/>
    <row r="212" customFormat="1" ht="15.75" customHeight="1" x14ac:dyDescent="0.35"/>
    <row r="213" customFormat="1" ht="15.75" customHeight="1" x14ac:dyDescent="0.35"/>
    <row r="214" customFormat="1" ht="15.75" customHeight="1" x14ac:dyDescent="0.35"/>
    <row r="215" customFormat="1" ht="15.75" customHeight="1" x14ac:dyDescent="0.35"/>
    <row r="216" customFormat="1" ht="15.75" customHeight="1" x14ac:dyDescent="0.35"/>
    <row r="217" customFormat="1" ht="15.75" customHeight="1" x14ac:dyDescent="0.35"/>
    <row r="218" customFormat="1" ht="15.75" customHeight="1" x14ac:dyDescent="0.35"/>
    <row r="219" customFormat="1" ht="15.75" customHeight="1" x14ac:dyDescent="0.35"/>
    <row r="220" customFormat="1" ht="15.75" customHeight="1" x14ac:dyDescent="0.35"/>
    <row r="221" customFormat="1" ht="15.75" customHeight="1" x14ac:dyDescent="0.35"/>
    <row r="222" customFormat="1" ht="15.75" customHeight="1" x14ac:dyDescent="0.35"/>
    <row r="223" customFormat="1" ht="15.75" customHeight="1" x14ac:dyDescent="0.35"/>
    <row r="224" customFormat="1" ht="15.75" customHeight="1" x14ac:dyDescent="0.35"/>
    <row r="225" customFormat="1" ht="15.75" customHeight="1" x14ac:dyDescent="0.35"/>
    <row r="226" customFormat="1" ht="15.75" customHeight="1" x14ac:dyDescent="0.35"/>
    <row r="227" customFormat="1" ht="15.75" customHeight="1" x14ac:dyDescent="0.35"/>
    <row r="228" customFormat="1" ht="15.75" customHeight="1" x14ac:dyDescent="0.35"/>
    <row r="229" customFormat="1" ht="15.75" customHeight="1" x14ac:dyDescent="0.35"/>
    <row r="230" customFormat="1" ht="15.75" customHeight="1" x14ac:dyDescent="0.35"/>
    <row r="231" customFormat="1" ht="15.75" customHeight="1" x14ac:dyDescent="0.35"/>
    <row r="232" customFormat="1" ht="15.75" customHeight="1" x14ac:dyDescent="0.35"/>
    <row r="233" customFormat="1" ht="15.75" customHeight="1" x14ac:dyDescent="0.35"/>
    <row r="234" customFormat="1" ht="15.75" customHeight="1" x14ac:dyDescent="0.35"/>
    <row r="235" customFormat="1" ht="15.75" customHeight="1" x14ac:dyDescent="0.35"/>
    <row r="236" customFormat="1" ht="15.75" customHeight="1" x14ac:dyDescent="0.35"/>
    <row r="237" customFormat="1" ht="15.75" customHeight="1" x14ac:dyDescent="0.35"/>
    <row r="238" customFormat="1" ht="15.75" customHeight="1" x14ac:dyDescent="0.35"/>
    <row r="239" customFormat="1" ht="15.75" customHeight="1" x14ac:dyDescent="0.35"/>
    <row r="240" customFormat="1" ht="15.75" customHeight="1" x14ac:dyDescent="0.35"/>
    <row r="241" customFormat="1" ht="15.75" customHeight="1" x14ac:dyDescent="0.35"/>
    <row r="242" customFormat="1" ht="15.75" customHeight="1" x14ac:dyDescent="0.35"/>
    <row r="243" customFormat="1" ht="15.75" customHeight="1" x14ac:dyDescent="0.35"/>
    <row r="244" customFormat="1" ht="15.75" customHeight="1" x14ac:dyDescent="0.35"/>
    <row r="245" customFormat="1" ht="15.75" customHeight="1" x14ac:dyDescent="0.35"/>
    <row r="246" customFormat="1" ht="15.75" customHeight="1" x14ac:dyDescent="0.35"/>
    <row r="247" customFormat="1" ht="15.75" customHeight="1" x14ac:dyDescent="0.35"/>
    <row r="248" customFormat="1" ht="15.75" customHeight="1" x14ac:dyDescent="0.35"/>
    <row r="249" customFormat="1" ht="15.75" customHeight="1" x14ac:dyDescent="0.35"/>
    <row r="250" customFormat="1" ht="15.75" customHeight="1" x14ac:dyDescent="0.35"/>
    <row r="251" customFormat="1" ht="15.75" customHeight="1" x14ac:dyDescent="0.35"/>
    <row r="252" customFormat="1" ht="15.75" customHeight="1" x14ac:dyDescent="0.35"/>
    <row r="253" customFormat="1" ht="15.75" customHeight="1" x14ac:dyDescent="0.35"/>
    <row r="254" customFormat="1" ht="15.75" customHeight="1" x14ac:dyDescent="0.35"/>
    <row r="255" customFormat="1" ht="15.75" customHeight="1" x14ac:dyDescent="0.35"/>
    <row r="256" customFormat="1" ht="15.75" customHeight="1" x14ac:dyDescent="0.35"/>
    <row r="257" customFormat="1" ht="15.75" customHeight="1" x14ac:dyDescent="0.35"/>
    <row r="258" customFormat="1" ht="15.75" customHeight="1" x14ac:dyDescent="0.35"/>
    <row r="259" customFormat="1" ht="15.75" customHeight="1" x14ac:dyDescent="0.35"/>
    <row r="260" customFormat="1" ht="15.75" customHeight="1" x14ac:dyDescent="0.35"/>
    <row r="261" customFormat="1" ht="15.75" customHeight="1" x14ac:dyDescent="0.35"/>
    <row r="262" customFormat="1" ht="15.75" customHeight="1" x14ac:dyDescent="0.35"/>
    <row r="263" customFormat="1" ht="15.75" customHeight="1" x14ac:dyDescent="0.35"/>
    <row r="264" customFormat="1" ht="15.75" customHeight="1" x14ac:dyDescent="0.35"/>
    <row r="265" customFormat="1" ht="15.75" customHeight="1" x14ac:dyDescent="0.35"/>
    <row r="266" customFormat="1" ht="15.75" customHeight="1" x14ac:dyDescent="0.35"/>
    <row r="267" customFormat="1" ht="15.75" customHeight="1" x14ac:dyDescent="0.35"/>
    <row r="268" customFormat="1" ht="15.75" customHeight="1" x14ac:dyDescent="0.35"/>
    <row r="269" customFormat="1" ht="15.75" customHeight="1" x14ac:dyDescent="0.35"/>
    <row r="270" customFormat="1" ht="15.75" customHeight="1" x14ac:dyDescent="0.35"/>
    <row r="271" customFormat="1" ht="15.75" customHeight="1" x14ac:dyDescent="0.35"/>
    <row r="272" customFormat="1" ht="15.75" customHeight="1" x14ac:dyDescent="0.35"/>
    <row r="273" customFormat="1" ht="15.75" customHeight="1" x14ac:dyDescent="0.35"/>
    <row r="274" customFormat="1" ht="15.75" customHeight="1" x14ac:dyDescent="0.35"/>
    <row r="275" customFormat="1" ht="15.75" customHeight="1" x14ac:dyDescent="0.35"/>
    <row r="276" customFormat="1" ht="15.75" customHeight="1" x14ac:dyDescent="0.35"/>
    <row r="277" customFormat="1" ht="15.75" customHeight="1" x14ac:dyDescent="0.35"/>
    <row r="278" customFormat="1" ht="15.75" customHeight="1" x14ac:dyDescent="0.35"/>
    <row r="279" customFormat="1" ht="15.75" customHeight="1" x14ac:dyDescent="0.35"/>
    <row r="280" customFormat="1" ht="15.75" customHeight="1" x14ac:dyDescent="0.35"/>
    <row r="281" customFormat="1" ht="15.75" customHeight="1" x14ac:dyDescent="0.35"/>
    <row r="282" customFormat="1" ht="15.75" customHeight="1" x14ac:dyDescent="0.35"/>
    <row r="283" customFormat="1" ht="15.75" customHeight="1" x14ac:dyDescent="0.35"/>
    <row r="284" customFormat="1" ht="15.75" customHeight="1" x14ac:dyDescent="0.35"/>
    <row r="285" customFormat="1" ht="15.75" customHeight="1" x14ac:dyDescent="0.35"/>
    <row r="286" customFormat="1" ht="15.75" customHeight="1" x14ac:dyDescent="0.35"/>
    <row r="287" customFormat="1" ht="15.75" customHeight="1" x14ac:dyDescent="0.35"/>
    <row r="288" customFormat="1" ht="15.75" customHeight="1" x14ac:dyDescent="0.35"/>
    <row r="289" customFormat="1" ht="15.75" customHeight="1" x14ac:dyDescent="0.35"/>
    <row r="290" customFormat="1" ht="15.75" customHeight="1" x14ac:dyDescent="0.35"/>
    <row r="291" customFormat="1" ht="15.75" customHeight="1" x14ac:dyDescent="0.35"/>
    <row r="292" customFormat="1" ht="15.75" customHeight="1" x14ac:dyDescent="0.35"/>
    <row r="293" customFormat="1" ht="15.75" customHeight="1" x14ac:dyDescent="0.35"/>
    <row r="294" customFormat="1" ht="15.75" customHeight="1" x14ac:dyDescent="0.35"/>
    <row r="295" customFormat="1" ht="15.75" customHeight="1" x14ac:dyDescent="0.35"/>
    <row r="296" customFormat="1" ht="15.75" customHeight="1" x14ac:dyDescent="0.35"/>
    <row r="297" customFormat="1" ht="15.75" customHeight="1" x14ac:dyDescent="0.35"/>
    <row r="298" customFormat="1" ht="15.75" customHeight="1" x14ac:dyDescent="0.35"/>
    <row r="299" customFormat="1" ht="15.75" customHeight="1" x14ac:dyDescent="0.35"/>
    <row r="300" customFormat="1" ht="15.75" customHeight="1" x14ac:dyDescent="0.35"/>
    <row r="301" customFormat="1" ht="15.75" customHeight="1" x14ac:dyDescent="0.35"/>
    <row r="302" customFormat="1" ht="15.75" customHeight="1" x14ac:dyDescent="0.35"/>
    <row r="303" customFormat="1" ht="15.75" customHeight="1" x14ac:dyDescent="0.35"/>
    <row r="304" customFormat="1" ht="15.75" customHeight="1" x14ac:dyDescent="0.35"/>
    <row r="305" customFormat="1" ht="15.75" customHeight="1" x14ac:dyDescent="0.35"/>
    <row r="306" customFormat="1" ht="15.75" customHeight="1" x14ac:dyDescent="0.35"/>
    <row r="307" customFormat="1" ht="15.75" customHeight="1" x14ac:dyDescent="0.35"/>
    <row r="308" customFormat="1" ht="15.75" customHeight="1" x14ac:dyDescent="0.35"/>
    <row r="309" customFormat="1" ht="15.75" customHeight="1" x14ac:dyDescent="0.35"/>
    <row r="310" customFormat="1" ht="15.75" customHeight="1" x14ac:dyDescent="0.35"/>
    <row r="311" customFormat="1" ht="15.75" customHeight="1" x14ac:dyDescent="0.35"/>
    <row r="312" customFormat="1" ht="15.75" customHeight="1" x14ac:dyDescent="0.35"/>
    <row r="313" customFormat="1" ht="15.75" customHeight="1" x14ac:dyDescent="0.35"/>
    <row r="314" customFormat="1" ht="15.75" customHeight="1" x14ac:dyDescent="0.35"/>
    <row r="315" customFormat="1" ht="15.75" customHeight="1" x14ac:dyDescent="0.35"/>
    <row r="316" customFormat="1" ht="15.75" customHeight="1" x14ac:dyDescent="0.35"/>
    <row r="317" customFormat="1" ht="15.75" customHeight="1" x14ac:dyDescent="0.35"/>
    <row r="318" customFormat="1" ht="15.75" customHeight="1" x14ac:dyDescent="0.35"/>
    <row r="319" customFormat="1" ht="15.75" customHeight="1" x14ac:dyDescent="0.35"/>
    <row r="320" customFormat="1" ht="15.75" customHeight="1" x14ac:dyDescent="0.35"/>
    <row r="321" customFormat="1" ht="15.75" customHeight="1" x14ac:dyDescent="0.35"/>
    <row r="322" customFormat="1" ht="15.75" customHeight="1" x14ac:dyDescent="0.35"/>
    <row r="323" customFormat="1" ht="15.75" customHeight="1" x14ac:dyDescent="0.35"/>
    <row r="324" customFormat="1" ht="15.75" customHeight="1" x14ac:dyDescent="0.35"/>
    <row r="325" customFormat="1" ht="15.75" customHeight="1" x14ac:dyDescent="0.35"/>
    <row r="326" customFormat="1" ht="15.75" customHeight="1" x14ac:dyDescent="0.35"/>
    <row r="327" customFormat="1" ht="15.75" customHeight="1" x14ac:dyDescent="0.35"/>
    <row r="328" customFormat="1" ht="15.75" customHeight="1" x14ac:dyDescent="0.35"/>
    <row r="329" customFormat="1" ht="15.75" customHeight="1" x14ac:dyDescent="0.35"/>
    <row r="330" customFormat="1" ht="15.75" customHeight="1" x14ac:dyDescent="0.35"/>
    <row r="331" customFormat="1" ht="15.75" customHeight="1" x14ac:dyDescent="0.35"/>
    <row r="332" customFormat="1" ht="15.75" customHeight="1" x14ac:dyDescent="0.35"/>
    <row r="333" customFormat="1" ht="15.75" customHeight="1" x14ac:dyDescent="0.35"/>
    <row r="334" customFormat="1" ht="15.75" customHeight="1" x14ac:dyDescent="0.35"/>
    <row r="335" customFormat="1" ht="15.75" customHeight="1" x14ac:dyDescent="0.35"/>
    <row r="336" customFormat="1" ht="15.75" customHeight="1" x14ac:dyDescent="0.35"/>
    <row r="337" customFormat="1" ht="15.75" customHeight="1" x14ac:dyDescent="0.35"/>
    <row r="338" customFormat="1" ht="15.75" customHeight="1" x14ac:dyDescent="0.35"/>
    <row r="339" customFormat="1" ht="15.75" customHeight="1" x14ac:dyDescent="0.35"/>
    <row r="340" customFormat="1" ht="15.75" customHeight="1" x14ac:dyDescent="0.35"/>
    <row r="341" customFormat="1" ht="15.75" customHeight="1" x14ac:dyDescent="0.35"/>
    <row r="342" customFormat="1" ht="15.75" customHeight="1" x14ac:dyDescent="0.35"/>
    <row r="343" customFormat="1" ht="15.75" customHeight="1" x14ac:dyDescent="0.35"/>
    <row r="344" customFormat="1" ht="15.75" customHeight="1" x14ac:dyDescent="0.35"/>
    <row r="345" customFormat="1" ht="15.75" customHeight="1" x14ac:dyDescent="0.35"/>
    <row r="346" customFormat="1" ht="15.75" customHeight="1" x14ac:dyDescent="0.35"/>
    <row r="347" customFormat="1" ht="15.75" customHeight="1" x14ac:dyDescent="0.35"/>
    <row r="348" customFormat="1" ht="15.75" customHeight="1" x14ac:dyDescent="0.35"/>
    <row r="349" customFormat="1" ht="15.75" customHeight="1" x14ac:dyDescent="0.35"/>
    <row r="350" customFormat="1" ht="15.75" customHeight="1" x14ac:dyDescent="0.35"/>
    <row r="351" customFormat="1" ht="15.75" customHeight="1" x14ac:dyDescent="0.35"/>
    <row r="352" customFormat="1" ht="15.75" customHeight="1" x14ac:dyDescent="0.35"/>
    <row r="353" customFormat="1" ht="15.75" customHeight="1" x14ac:dyDescent="0.35"/>
    <row r="354" customFormat="1" ht="15.75" customHeight="1" x14ac:dyDescent="0.35"/>
    <row r="355" customFormat="1" ht="15.75" customHeight="1" x14ac:dyDescent="0.35"/>
    <row r="356" customFormat="1" ht="15.75" customHeight="1" x14ac:dyDescent="0.35"/>
    <row r="357" customFormat="1" ht="15.75" customHeight="1" x14ac:dyDescent="0.35"/>
    <row r="358" customFormat="1" ht="15.75" customHeight="1" x14ac:dyDescent="0.35"/>
    <row r="359" customFormat="1" ht="15.75" customHeight="1" x14ac:dyDescent="0.35"/>
    <row r="360" customFormat="1" ht="15.75" customHeight="1" x14ac:dyDescent="0.35"/>
    <row r="361" customFormat="1" ht="15.75" customHeight="1" x14ac:dyDescent="0.35"/>
    <row r="362" customFormat="1" ht="15.75" customHeight="1" x14ac:dyDescent="0.35"/>
    <row r="363" customFormat="1" ht="15.75" customHeight="1" x14ac:dyDescent="0.35"/>
    <row r="364" customFormat="1" ht="15.75" customHeight="1" x14ac:dyDescent="0.35"/>
    <row r="365" customFormat="1" ht="15.75" customHeight="1" x14ac:dyDescent="0.35"/>
    <row r="366" customFormat="1" ht="15.75" customHeight="1" x14ac:dyDescent="0.35"/>
    <row r="367" customFormat="1" ht="15.75" customHeight="1" x14ac:dyDescent="0.35"/>
    <row r="368" customFormat="1" ht="15.75" customHeight="1" x14ac:dyDescent="0.35"/>
    <row r="369" customFormat="1" ht="15.75" customHeight="1" x14ac:dyDescent="0.35"/>
    <row r="370" customFormat="1" ht="15.75" customHeight="1" x14ac:dyDescent="0.35"/>
    <row r="371" customFormat="1" ht="15.75" customHeight="1" x14ac:dyDescent="0.35"/>
    <row r="372" customFormat="1" ht="15.75" customHeight="1" x14ac:dyDescent="0.35"/>
    <row r="373" customFormat="1" ht="15.75" customHeight="1" x14ac:dyDescent="0.35"/>
    <row r="374" customFormat="1" ht="15.75" customHeight="1" x14ac:dyDescent="0.35"/>
    <row r="375" customFormat="1" ht="15.75" customHeight="1" x14ac:dyDescent="0.35"/>
    <row r="376" customFormat="1" ht="15.75" customHeight="1" x14ac:dyDescent="0.35"/>
    <row r="377" customFormat="1" ht="15.75" customHeight="1" x14ac:dyDescent="0.35"/>
    <row r="378" customFormat="1" ht="15.75" customHeight="1" x14ac:dyDescent="0.35"/>
    <row r="379" customFormat="1" ht="15.75" customHeight="1" x14ac:dyDescent="0.35"/>
    <row r="380" customFormat="1" ht="15.75" customHeight="1" x14ac:dyDescent="0.35"/>
    <row r="381" customFormat="1" ht="15.75" customHeight="1" x14ac:dyDescent="0.35"/>
    <row r="382" customFormat="1" ht="15.75" customHeight="1" x14ac:dyDescent="0.35"/>
    <row r="383" customFormat="1" ht="15.75" customHeight="1" x14ac:dyDescent="0.35"/>
    <row r="384" customFormat="1" ht="15.75" customHeight="1" x14ac:dyDescent="0.35"/>
    <row r="385" customFormat="1" ht="15.75" customHeight="1" x14ac:dyDescent="0.35"/>
    <row r="386" customFormat="1" ht="15.75" customHeight="1" x14ac:dyDescent="0.35"/>
    <row r="387" customFormat="1" ht="15.75" customHeight="1" x14ac:dyDescent="0.35"/>
    <row r="388" customFormat="1" ht="15.75" customHeight="1" x14ac:dyDescent="0.35"/>
    <row r="389" customFormat="1" ht="15.75" customHeight="1" x14ac:dyDescent="0.35"/>
    <row r="390" customFormat="1" ht="15.75" customHeight="1" x14ac:dyDescent="0.35"/>
    <row r="391" customFormat="1" ht="15.75" customHeight="1" x14ac:dyDescent="0.35"/>
    <row r="392" customFormat="1" ht="15.75" customHeight="1" x14ac:dyDescent="0.35"/>
    <row r="393" customFormat="1" ht="15.75" customHeight="1" x14ac:dyDescent="0.35"/>
    <row r="394" customFormat="1" ht="15.75" customHeight="1" x14ac:dyDescent="0.35"/>
    <row r="395" customFormat="1" ht="15.75" customHeight="1" x14ac:dyDescent="0.35"/>
    <row r="396" customFormat="1" ht="15.75" customHeight="1" x14ac:dyDescent="0.35"/>
    <row r="397" customFormat="1" ht="15.75" customHeight="1" x14ac:dyDescent="0.35"/>
    <row r="398" customFormat="1" ht="15.75" customHeight="1" x14ac:dyDescent="0.35"/>
    <row r="399" customFormat="1" ht="15.75" customHeight="1" x14ac:dyDescent="0.35"/>
    <row r="400" customFormat="1" ht="15.75" customHeight="1" x14ac:dyDescent="0.35"/>
    <row r="401" customFormat="1" ht="15.75" customHeight="1" x14ac:dyDescent="0.35"/>
    <row r="402" customFormat="1" ht="15.75" customHeight="1" x14ac:dyDescent="0.35"/>
    <row r="403" customFormat="1" ht="15.75" customHeight="1" x14ac:dyDescent="0.35"/>
    <row r="404" customFormat="1" ht="15.75" customHeight="1" x14ac:dyDescent="0.35"/>
    <row r="405" customFormat="1" ht="15.75" customHeight="1" x14ac:dyDescent="0.35"/>
    <row r="406" customFormat="1" ht="15.75" customHeight="1" x14ac:dyDescent="0.35"/>
    <row r="407" customFormat="1" ht="15.75" customHeight="1" x14ac:dyDescent="0.35"/>
    <row r="408" customFormat="1" ht="15.75" customHeight="1" x14ac:dyDescent="0.35"/>
    <row r="409" customFormat="1" ht="15.75" customHeight="1" x14ac:dyDescent="0.35"/>
    <row r="410" customFormat="1" ht="15.75" customHeight="1" x14ac:dyDescent="0.35"/>
    <row r="411" customFormat="1" ht="15.75" customHeight="1" x14ac:dyDescent="0.35"/>
    <row r="412" customFormat="1" ht="15.75" customHeight="1" x14ac:dyDescent="0.35"/>
    <row r="413" customFormat="1" ht="15.75" customHeight="1" x14ac:dyDescent="0.35"/>
    <row r="414" customFormat="1" ht="15.75" customHeight="1" x14ac:dyDescent="0.35"/>
    <row r="415" customFormat="1" ht="15.75" customHeight="1" x14ac:dyDescent="0.35"/>
    <row r="416" customFormat="1" ht="15.75" customHeight="1" x14ac:dyDescent="0.35"/>
    <row r="417" customFormat="1" ht="15.75" customHeight="1" x14ac:dyDescent="0.35"/>
    <row r="418" customFormat="1" ht="15.75" customHeight="1" x14ac:dyDescent="0.35"/>
    <row r="419" customFormat="1" ht="15.75" customHeight="1" x14ac:dyDescent="0.35"/>
    <row r="420" customFormat="1" ht="15.75" customHeight="1" x14ac:dyDescent="0.35"/>
    <row r="421" customFormat="1" ht="15.75" customHeight="1" x14ac:dyDescent="0.35"/>
    <row r="422" customFormat="1" ht="15.75" customHeight="1" x14ac:dyDescent="0.35"/>
    <row r="423" customFormat="1" ht="15.75" customHeight="1" x14ac:dyDescent="0.35"/>
    <row r="424" customFormat="1" ht="15.75" customHeight="1" x14ac:dyDescent="0.35"/>
    <row r="425" customFormat="1" ht="15.75" customHeight="1" x14ac:dyDescent="0.35"/>
    <row r="426" customFormat="1" ht="15.75" customHeight="1" x14ac:dyDescent="0.35"/>
    <row r="427" customFormat="1" ht="15.75" customHeight="1" x14ac:dyDescent="0.35"/>
    <row r="428" customFormat="1" ht="15.75" customHeight="1" x14ac:dyDescent="0.35"/>
    <row r="429" customFormat="1" ht="15.75" customHeight="1" x14ac:dyDescent="0.35"/>
    <row r="430" customFormat="1" ht="15.75" customHeight="1" x14ac:dyDescent="0.35"/>
    <row r="431" customFormat="1" ht="15.75" customHeight="1" x14ac:dyDescent="0.35"/>
    <row r="432" customFormat="1" ht="15.75" customHeight="1" x14ac:dyDescent="0.35"/>
    <row r="433" customFormat="1" ht="15.75" customHeight="1" x14ac:dyDescent="0.35"/>
    <row r="434" customFormat="1" ht="15.75" customHeight="1" x14ac:dyDescent="0.35"/>
    <row r="435" customFormat="1" ht="15.75" customHeight="1" x14ac:dyDescent="0.35"/>
    <row r="436" customFormat="1" ht="15.75" customHeight="1" x14ac:dyDescent="0.35"/>
    <row r="437" customFormat="1" ht="15.75" customHeight="1" x14ac:dyDescent="0.35"/>
    <row r="438" customFormat="1" ht="15.75" customHeight="1" x14ac:dyDescent="0.35"/>
    <row r="439" customFormat="1" ht="15.75" customHeight="1" x14ac:dyDescent="0.35"/>
    <row r="440" customFormat="1" ht="15.75" customHeight="1" x14ac:dyDescent="0.35"/>
    <row r="441" customFormat="1" ht="15.75" customHeight="1" x14ac:dyDescent="0.35"/>
    <row r="442" customFormat="1" ht="15.75" customHeight="1" x14ac:dyDescent="0.35"/>
    <row r="443" customFormat="1" ht="15.75" customHeight="1" x14ac:dyDescent="0.35"/>
    <row r="444" customFormat="1" ht="15.75" customHeight="1" x14ac:dyDescent="0.35"/>
    <row r="445" customFormat="1" ht="15.75" customHeight="1" x14ac:dyDescent="0.35"/>
    <row r="446" customFormat="1" ht="15.75" customHeight="1" x14ac:dyDescent="0.35"/>
    <row r="447" customFormat="1" ht="15.75" customHeight="1" x14ac:dyDescent="0.35"/>
    <row r="448" customFormat="1" ht="15.75" customHeight="1" x14ac:dyDescent="0.35"/>
    <row r="449" customFormat="1" ht="15.75" customHeight="1" x14ac:dyDescent="0.35"/>
    <row r="450" customFormat="1" ht="15.75" customHeight="1" x14ac:dyDescent="0.35"/>
    <row r="451" customFormat="1" ht="15.75" customHeight="1" x14ac:dyDescent="0.35"/>
    <row r="452" customFormat="1" ht="15.75" customHeight="1" x14ac:dyDescent="0.35"/>
    <row r="453" customFormat="1" ht="15.75" customHeight="1" x14ac:dyDescent="0.35"/>
    <row r="454" customFormat="1" ht="15.75" customHeight="1" x14ac:dyDescent="0.35"/>
    <row r="455" customFormat="1" ht="15.75" customHeight="1" x14ac:dyDescent="0.35"/>
    <row r="456" customFormat="1" ht="15.75" customHeight="1" x14ac:dyDescent="0.35"/>
    <row r="457" customFormat="1" ht="15.75" customHeight="1" x14ac:dyDescent="0.35"/>
    <row r="458" customFormat="1" ht="15.75" customHeight="1" x14ac:dyDescent="0.35"/>
    <row r="459" customFormat="1" ht="15.75" customHeight="1" x14ac:dyDescent="0.35"/>
    <row r="460" customFormat="1" ht="15.75" customHeight="1" x14ac:dyDescent="0.35"/>
    <row r="461" customFormat="1" ht="15.75" customHeight="1" x14ac:dyDescent="0.35"/>
    <row r="462" customFormat="1" ht="15.75" customHeight="1" x14ac:dyDescent="0.35"/>
    <row r="463" customFormat="1" ht="15.75" customHeight="1" x14ac:dyDescent="0.35"/>
    <row r="464" customFormat="1" ht="15.75" customHeight="1" x14ac:dyDescent="0.35"/>
    <row r="465" customFormat="1" ht="15.75" customHeight="1" x14ac:dyDescent="0.35"/>
    <row r="466" customFormat="1" ht="15.75" customHeight="1" x14ac:dyDescent="0.35"/>
    <row r="467" customFormat="1" ht="15.75" customHeight="1" x14ac:dyDescent="0.35"/>
    <row r="468" customFormat="1" ht="15.75" customHeight="1" x14ac:dyDescent="0.35"/>
    <row r="469" customFormat="1" ht="15.75" customHeight="1" x14ac:dyDescent="0.35"/>
    <row r="470" customFormat="1" ht="15.75" customHeight="1" x14ac:dyDescent="0.35"/>
    <row r="471" customFormat="1" ht="15.75" customHeight="1" x14ac:dyDescent="0.35"/>
    <row r="472" customFormat="1" ht="15.75" customHeight="1" x14ac:dyDescent="0.35"/>
    <row r="473" customFormat="1" ht="15.75" customHeight="1" x14ac:dyDescent="0.35"/>
    <row r="474" customFormat="1" ht="15.75" customHeight="1" x14ac:dyDescent="0.35"/>
    <row r="475" customFormat="1" ht="15.75" customHeight="1" x14ac:dyDescent="0.35"/>
    <row r="476" customFormat="1" ht="15.75" customHeight="1" x14ac:dyDescent="0.35"/>
    <row r="477" customFormat="1" ht="15.75" customHeight="1" x14ac:dyDescent="0.35"/>
    <row r="478" customFormat="1" ht="15.75" customHeight="1" x14ac:dyDescent="0.35"/>
    <row r="479" customFormat="1" ht="15.75" customHeight="1" x14ac:dyDescent="0.35"/>
    <row r="480" customFormat="1" ht="15.75" customHeight="1" x14ac:dyDescent="0.35"/>
    <row r="481" customFormat="1" ht="15.75" customHeight="1" x14ac:dyDescent="0.35"/>
    <row r="482" customFormat="1" ht="15.75" customHeight="1" x14ac:dyDescent="0.35"/>
    <row r="483" customFormat="1" ht="15.75" customHeight="1" x14ac:dyDescent="0.35"/>
    <row r="484" customFormat="1" ht="15.75" customHeight="1" x14ac:dyDescent="0.35"/>
    <row r="485" customFormat="1" ht="15.75" customHeight="1" x14ac:dyDescent="0.35"/>
    <row r="486" customFormat="1" ht="15.75" customHeight="1" x14ac:dyDescent="0.35"/>
    <row r="487" customFormat="1" ht="15.75" customHeight="1" x14ac:dyDescent="0.35"/>
    <row r="488" customFormat="1" ht="15.75" customHeight="1" x14ac:dyDescent="0.35"/>
    <row r="489" customFormat="1" ht="15.75" customHeight="1" x14ac:dyDescent="0.35"/>
    <row r="490" customFormat="1" ht="15.75" customHeight="1" x14ac:dyDescent="0.35"/>
    <row r="491" customFormat="1" ht="15.75" customHeight="1" x14ac:dyDescent="0.35"/>
    <row r="492" customFormat="1" ht="15.75" customHeight="1" x14ac:dyDescent="0.35"/>
    <row r="493" customFormat="1" ht="15.75" customHeight="1" x14ac:dyDescent="0.35"/>
    <row r="494" customFormat="1" ht="15.75" customHeight="1" x14ac:dyDescent="0.35"/>
    <row r="495" customFormat="1" ht="15.75" customHeight="1" x14ac:dyDescent="0.35"/>
    <row r="496" customFormat="1" ht="15.75" customHeight="1" x14ac:dyDescent="0.35"/>
    <row r="497" customFormat="1" ht="15.75" customHeight="1" x14ac:dyDescent="0.35"/>
    <row r="498" customFormat="1" ht="15.75" customHeight="1" x14ac:dyDescent="0.35"/>
    <row r="499" customFormat="1" ht="15.75" customHeight="1" x14ac:dyDescent="0.35"/>
    <row r="500" customFormat="1" ht="15.75" customHeight="1" x14ac:dyDescent="0.35"/>
    <row r="501" customFormat="1" ht="15.75" customHeight="1" x14ac:dyDescent="0.35"/>
    <row r="502" customFormat="1" ht="15.75" customHeight="1" x14ac:dyDescent="0.35"/>
    <row r="503" customFormat="1" ht="15.75" customHeight="1" x14ac:dyDescent="0.35"/>
    <row r="504" customFormat="1" ht="15.75" customHeight="1" x14ac:dyDescent="0.35"/>
    <row r="505" customFormat="1" ht="15.75" customHeight="1" x14ac:dyDescent="0.35"/>
    <row r="506" customFormat="1" ht="15.75" customHeight="1" x14ac:dyDescent="0.35"/>
    <row r="507" customFormat="1" ht="15.75" customHeight="1" x14ac:dyDescent="0.35"/>
    <row r="508" customFormat="1" ht="15.75" customHeight="1" x14ac:dyDescent="0.35"/>
    <row r="509" customFormat="1" ht="15.75" customHeight="1" x14ac:dyDescent="0.35"/>
    <row r="510" customFormat="1" ht="15.75" customHeight="1" x14ac:dyDescent="0.35"/>
    <row r="511" customFormat="1" ht="15.75" customHeight="1" x14ac:dyDescent="0.35"/>
    <row r="512" customFormat="1" ht="15.75" customHeight="1" x14ac:dyDescent="0.35"/>
    <row r="513" customFormat="1" ht="15.75" customHeight="1" x14ac:dyDescent="0.35"/>
    <row r="514" customFormat="1" ht="15.75" customHeight="1" x14ac:dyDescent="0.35"/>
    <row r="515" customFormat="1" ht="15.75" customHeight="1" x14ac:dyDescent="0.35"/>
    <row r="516" customFormat="1" ht="15.75" customHeight="1" x14ac:dyDescent="0.35"/>
    <row r="517" customFormat="1" ht="15.75" customHeight="1" x14ac:dyDescent="0.35"/>
    <row r="518" customFormat="1" ht="15.75" customHeight="1" x14ac:dyDescent="0.35"/>
    <row r="519" customFormat="1" ht="15.75" customHeight="1" x14ac:dyDescent="0.35"/>
    <row r="520" customFormat="1" ht="15.75" customHeight="1" x14ac:dyDescent="0.35"/>
    <row r="521" customFormat="1" ht="15.75" customHeight="1" x14ac:dyDescent="0.35"/>
    <row r="522" customFormat="1" ht="15.75" customHeight="1" x14ac:dyDescent="0.35"/>
    <row r="523" customFormat="1" ht="15.75" customHeight="1" x14ac:dyDescent="0.35"/>
    <row r="524" customFormat="1" ht="15.75" customHeight="1" x14ac:dyDescent="0.35"/>
    <row r="525" customFormat="1" ht="15.75" customHeight="1" x14ac:dyDescent="0.35"/>
    <row r="526" customFormat="1" ht="15.75" customHeight="1" x14ac:dyDescent="0.35"/>
    <row r="527" customFormat="1" ht="15.75" customHeight="1" x14ac:dyDescent="0.35"/>
    <row r="528" customFormat="1" ht="15.75" customHeight="1" x14ac:dyDescent="0.35"/>
    <row r="529" customFormat="1" ht="15.75" customHeight="1" x14ac:dyDescent="0.35"/>
    <row r="530" customFormat="1" ht="15.75" customHeight="1" x14ac:dyDescent="0.35"/>
    <row r="531" customFormat="1" ht="15.75" customHeight="1" x14ac:dyDescent="0.35"/>
    <row r="532" customFormat="1" ht="15.75" customHeight="1" x14ac:dyDescent="0.35"/>
    <row r="533" customFormat="1" ht="15.75" customHeight="1" x14ac:dyDescent="0.35"/>
    <row r="534" customFormat="1" ht="15.75" customHeight="1" x14ac:dyDescent="0.35"/>
    <row r="535" customFormat="1" ht="15.75" customHeight="1" x14ac:dyDescent="0.35"/>
    <row r="536" customFormat="1" ht="15.75" customHeight="1" x14ac:dyDescent="0.35"/>
    <row r="537" customFormat="1" ht="15.75" customHeight="1" x14ac:dyDescent="0.35"/>
    <row r="538" customFormat="1" ht="15.75" customHeight="1" x14ac:dyDescent="0.35"/>
    <row r="539" customFormat="1" ht="15.75" customHeight="1" x14ac:dyDescent="0.35"/>
    <row r="540" customFormat="1" ht="15.75" customHeight="1" x14ac:dyDescent="0.35"/>
    <row r="541" customFormat="1" ht="15.75" customHeight="1" x14ac:dyDescent="0.35"/>
    <row r="542" customFormat="1" ht="15.75" customHeight="1" x14ac:dyDescent="0.35"/>
    <row r="543" customFormat="1" ht="15.75" customHeight="1" x14ac:dyDescent="0.35"/>
    <row r="544" customFormat="1" ht="15.75" customHeight="1" x14ac:dyDescent="0.35"/>
    <row r="545" customFormat="1" ht="15.75" customHeight="1" x14ac:dyDescent="0.35"/>
    <row r="546" customFormat="1" ht="15.75" customHeight="1" x14ac:dyDescent="0.35"/>
    <row r="547" customFormat="1" ht="15.75" customHeight="1" x14ac:dyDescent="0.35"/>
    <row r="548" customFormat="1" ht="15.75" customHeight="1" x14ac:dyDescent="0.35"/>
    <row r="549" customFormat="1" ht="15.75" customHeight="1" x14ac:dyDescent="0.35"/>
    <row r="550" customFormat="1" ht="15.75" customHeight="1" x14ac:dyDescent="0.35"/>
    <row r="551" customFormat="1" ht="15.75" customHeight="1" x14ac:dyDescent="0.35"/>
    <row r="552" customFormat="1" ht="15.75" customHeight="1" x14ac:dyDescent="0.35"/>
    <row r="553" customFormat="1" ht="15.75" customHeight="1" x14ac:dyDescent="0.35"/>
    <row r="554" customFormat="1" ht="15.75" customHeight="1" x14ac:dyDescent="0.35"/>
    <row r="555" customFormat="1" ht="15.75" customHeight="1" x14ac:dyDescent="0.35"/>
    <row r="556" customFormat="1" ht="15.75" customHeight="1" x14ac:dyDescent="0.35"/>
    <row r="557" customFormat="1" ht="15.75" customHeight="1" x14ac:dyDescent="0.35"/>
    <row r="558" customFormat="1" ht="15.75" customHeight="1" x14ac:dyDescent="0.35"/>
    <row r="559" customFormat="1" ht="15.75" customHeight="1" x14ac:dyDescent="0.35"/>
    <row r="560" customFormat="1" ht="15.75" customHeight="1" x14ac:dyDescent="0.35"/>
    <row r="561" customFormat="1" ht="15.75" customHeight="1" x14ac:dyDescent="0.35"/>
    <row r="562" customFormat="1" ht="15.75" customHeight="1" x14ac:dyDescent="0.35"/>
    <row r="563" customFormat="1" ht="15.75" customHeight="1" x14ac:dyDescent="0.35"/>
    <row r="564" customFormat="1" ht="15.75" customHeight="1" x14ac:dyDescent="0.35"/>
    <row r="565" customFormat="1" ht="15.75" customHeight="1" x14ac:dyDescent="0.35"/>
    <row r="566" customFormat="1" ht="15.75" customHeight="1" x14ac:dyDescent="0.35"/>
    <row r="567" customFormat="1" ht="15.75" customHeight="1" x14ac:dyDescent="0.35"/>
    <row r="568" customFormat="1" ht="15.75" customHeight="1" x14ac:dyDescent="0.35"/>
    <row r="569" customFormat="1" ht="15.75" customHeight="1" x14ac:dyDescent="0.35"/>
    <row r="570" customFormat="1" ht="15.75" customHeight="1" x14ac:dyDescent="0.35"/>
    <row r="571" customFormat="1" ht="15.75" customHeight="1" x14ac:dyDescent="0.35"/>
    <row r="572" customFormat="1" ht="15.75" customHeight="1" x14ac:dyDescent="0.35"/>
    <row r="573" customFormat="1" ht="15.75" customHeight="1" x14ac:dyDescent="0.35"/>
    <row r="574" customFormat="1" ht="15.75" customHeight="1" x14ac:dyDescent="0.35"/>
    <row r="575" customFormat="1" ht="15.75" customHeight="1" x14ac:dyDescent="0.35"/>
    <row r="576" customFormat="1" ht="15.75" customHeight="1" x14ac:dyDescent="0.35"/>
    <row r="577" customFormat="1" ht="15.75" customHeight="1" x14ac:dyDescent="0.35"/>
    <row r="578" customFormat="1" ht="15.75" customHeight="1" x14ac:dyDescent="0.35"/>
    <row r="579" customFormat="1" ht="15.75" customHeight="1" x14ac:dyDescent="0.35"/>
    <row r="580" customFormat="1" ht="15.75" customHeight="1" x14ac:dyDescent="0.35"/>
    <row r="581" customFormat="1" ht="15.75" customHeight="1" x14ac:dyDescent="0.35"/>
    <row r="582" customFormat="1" ht="15.75" customHeight="1" x14ac:dyDescent="0.35"/>
    <row r="583" customFormat="1" ht="15.75" customHeight="1" x14ac:dyDescent="0.35"/>
    <row r="584" customFormat="1" ht="15.75" customHeight="1" x14ac:dyDescent="0.35"/>
    <row r="585" customFormat="1" ht="15.75" customHeight="1" x14ac:dyDescent="0.35"/>
    <row r="586" customFormat="1" ht="15.75" customHeight="1" x14ac:dyDescent="0.35"/>
    <row r="587" customFormat="1" ht="15.75" customHeight="1" x14ac:dyDescent="0.35"/>
    <row r="588" customFormat="1" ht="15.75" customHeight="1" x14ac:dyDescent="0.35"/>
    <row r="589" customFormat="1" ht="15.75" customHeight="1" x14ac:dyDescent="0.35"/>
    <row r="590" customFormat="1" ht="15.75" customHeight="1" x14ac:dyDescent="0.35"/>
    <row r="591" customFormat="1" ht="15.75" customHeight="1" x14ac:dyDescent="0.35"/>
    <row r="592" customFormat="1" ht="15.75" customHeight="1" x14ac:dyDescent="0.35"/>
    <row r="593" customFormat="1" ht="15.75" customHeight="1" x14ac:dyDescent="0.35"/>
    <row r="594" customFormat="1" ht="15.75" customHeight="1" x14ac:dyDescent="0.35"/>
    <row r="595" customFormat="1" ht="15.75" customHeight="1" x14ac:dyDescent="0.35"/>
    <row r="596" customFormat="1" ht="15.75" customHeight="1" x14ac:dyDescent="0.35"/>
    <row r="597" customFormat="1" ht="15.75" customHeight="1" x14ac:dyDescent="0.35"/>
    <row r="598" customFormat="1" ht="15.75" customHeight="1" x14ac:dyDescent="0.35"/>
    <row r="599" customFormat="1" ht="15.75" customHeight="1" x14ac:dyDescent="0.35"/>
    <row r="600" customFormat="1" ht="15.75" customHeight="1" x14ac:dyDescent="0.35"/>
    <row r="601" customFormat="1" ht="15.75" customHeight="1" x14ac:dyDescent="0.35"/>
    <row r="602" customFormat="1" ht="15.75" customHeight="1" x14ac:dyDescent="0.35"/>
    <row r="603" customFormat="1" ht="15.75" customHeight="1" x14ac:dyDescent="0.35"/>
    <row r="604" customFormat="1" ht="15.75" customHeight="1" x14ac:dyDescent="0.35"/>
    <row r="605" customFormat="1" ht="15.75" customHeight="1" x14ac:dyDescent="0.35"/>
    <row r="606" customFormat="1" ht="15.75" customHeight="1" x14ac:dyDescent="0.35"/>
    <row r="607" customFormat="1" ht="15.75" customHeight="1" x14ac:dyDescent="0.35"/>
    <row r="608" customFormat="1" ht="15.75" customHeight="1" x14ac:dyDescent="0.35"/>
    <row r="609" customFormat="1" ht="15.75" customHeight="1" x14ac:dyDescent="0.35"/>
    <row r="610" customFormat="1" ht="15.75" customHeight="1" x14ac:dyDescent="0.35"/>
    <row r="611" customFormat="1" ht="15.75" customHeight="1" x14ac:dyDescent="0.35"/>
    <row r="612" customFormat="1" ht="15.75" customHeight="1" x14ac:dyDescent="0.35"/>
    <row r="613" customFormat="1" ht="15.75" customHeight="1" x14ac:dyDescent="0.35"/>
    <row r="614" customFormat="1" ht="15.75" customHeight="1" x14ac:dyDescent="0.35"/>
    <row r="615" customFormat="1" ht="15.75" customHeight="1" x14ac:dyDescent="0.35"/>
    <row r="616" customFormat="1" ht="15.75" customHeight="1" x14ac:dyDescent="0.35"/>
    <row r="617" customFormat="1" ht="15.75" customHeight="1" x14ac:dyDescent="0.35"/>
    <row r="618" customFormat="1" ht="15.75" customHeight="1" x14ac:dyDescent="0.35"/>
    <row r="619" customFormat="1" ht="15.75" customHeight="1" x14ac:dyDescent="0.35"/>
    <row r="620" customFormat="1" ht="15.75" customHeight="1" x14ac:dyDescent="0.35"/>
    <row r="621" customFormat="1" ht="15.75" customHeight="1" x14ac:dyDescent="0.35"/>
    <row r="622" customFormat="1" ht="15.75" customHeight="1" x14ac:dyDescent="0.35"/>
    <row r="623" customFormat="1" ht="15.75" customHeight="1" x14ac:dyDescent="0.35"/>
    <row r="624" customFormat="1" ht="15.75" customHeight="1" x14ac:dyDescent="0.35"/>
    <row r="625" customFormat="1" ht="15.75" customHeight="1" x14ac:dyDescent="0.35"/>
    <row r="626" customFormat="1" ht="15.75" customHeight="1" x14ac:dyDescent="0.35"/>
    <row r="627" customFormat="1" ht="15.75" customHeight="1" x14ac:dyDescent="0.35"/>
    <row r="628" customFormat="1" ht="15.75" customHeight="1" x14ac:dyDescent="0.35"/>
    <row r="629" customFormat="1" ht="15.75" customHeight="1" x14ac:dyDescent="0.35"/>
    <row r="630" customFormat="1" ht="15.75" customHeight="1" x14ac:dyDescent="0.35"/>
    <row r="631" customFormat="1" ht="15.75" customHeight="1" x14ac:dyDescent="0.35"/>
    <row r="632" customFormat="1" ht="15.75" customHeight="1" x14ac:dyDescent="0.35"/>
    <row r="633" customFormat="1" ht="15.75" customHeight="1" x14ac:dyDescent="0.35"/>
    <row r="634" customFormat="1" ht="15.75" customHeight="1" x14ac:dyDescent="0.35"/>
    <row r="635" customFormat="1" ht="15.75" customHeight="1" x14ac:dyDescent="0.35"/>
    <row r="636" customFormat="1" ht="15.75" customHeight="1" x14ac:dyDescent="0.35"/>
    <row r="637" customFormat="1" ht="15.75" customHeight="1" x14ac:dyDescent="0.35"/>
    <row r="638" customFormat="1" ht="15.75" customHeight="1" x14ac:dyDescent="0.35"/>
    <row r="639" customFormat="1" ht="15.75" customHeight="1" x14ac:dyDescent="0.35"/>
    <row r="640" customFormat="1" ht="15.75" customHeight="1" x14ac:dyDescent="0.35"/>
    <row r="641" customFormat="1" ht="15.75" customHeight="1" x14ac:dyDescent="0.35"/>
    <row r="642" customFormat="1" ht="15.75" customHeight="1" x14ac:dyDescent="0.35"/>
    <row r="643" customFormat="1" ht="15.75" customHeight="1" x14ac:dyDescent="0.35"/>
    <row r="644" customFormat="1" ht="15.75" customHeight="1" x14ac:dyDescent="0.35"/>
    <row r="645" customFormat="1" ht="15.75" customHeight="1" x14ac:dyDescent="0.35"/>
    <row r="646" customFormat="1" ht="15.75" customHeight="1" x14ac:dyDescent="0.35"/>
    <row r="647" customFormat="1" ht="15.75" customHeight="1" x14ac:dyDescent="0.35"/>
    <row r="648" customFormat="1" ht="15.75" customHeight="1" x14ac:dyDescent="0.35"/>
    <row r="649" customFormat="1" ht="15.75" customHeight="1" x14ac:dyDescent="0.35"/>
    <row r="650" customFormat="1" ht="15.75" customHeight="1" x14ac:dyDescent="0.35"/>
    <row r="651" customFormat="1" ht="15.75" customHeight="1" x14ac:dyDescent="0.35"/>
    <row r="652" customFormat="1" ht="15.75" customHeight="1" x14ac:dyDescent="0.35"/>
    <row r="653" customFormat="1" ht="15.75" customHeight="1" x14ac:dyDescent="0.35"/>
    <row r="654" customFormat="1" ht="15.75" customHeight="1" x14ac:dyDescent="0.35"/>
    <row r="655" customFormat="1" ht="15.75" customHeight="1" x14ac:dyDescent="0.35"/>
    <row r="656" customFormat="1" ht="15.75" customHeight="1" x14ac:dyDescent="0.35"/>
    <row r="657" customFormat="1" ht="15.75" customHeight="1" x14ac:dyDescent="0.35"/>
    <row r="658" customFormat="1" ht="15.75" customHeight="1" x14ac:dyDescent="0.35"/>
    <row r="659" customFormat="1" ht="15.75" customHeight="1" x14ac:dyDescent="0.35"/>
    <row r="660" customFormat="1" ht="15.75" customHeight="1" x14ac:dyDescent="0.35"/>
    <row r="661" customFormat="1" ht="15.75" customHeight="1" x14ac:dyDescent="0.35"/>
    <row r="662" customFormat="1" ht="15.75" customHeight="1" x14ac:dyDescent="0.35"/>
    <row r="663" customFormat="1" ht="15.75" customHeight="1" x14ac:dyDescent="0.35"/>
    <row r="664" customFormat="1" ht="15.75" customHeight="1" x14ac:dyDescent="0.35"/>
    <row r="665" customFormat="1" ht="15.75" customHeight="1" x14ac:dyDescent="0.35"/>
    <row r="666" customFormat="1" ht="15.75" customHeight="1" x14ac:dyDescent="0.35"/>
    <row r="667" customFormat="1" ht="15.75" customHeight="1" x14ac:dyDescent="0.35"/>
    <row r="668" customFormat="1" ht="15.75" customHeight="1" x14ac:dyDescent="0.35"/>
    <row r="669" customFormat="1" ht="15.75" customHeight="1" x14ac:dyDescent="0.35"/>
    <row r="670" customFormat="1" ht="15.75" customHeight="1" x14ac:dyDescent="0.35"/>
    <row r="671" customFormat="1" ht="15.75" customHeight="1" x14ac:dyDescent="0.35"/>
    <row r="672" customFormat="1" ht="15.75" customHeight="1" x14ac:dyDescent="0.35"/>
    <row r="673" customFormat="1" ht="15.75" customHeight="1" x14ac:dyDescent="0.35"/>
    <row r="674" customFormat="1" ht="15.75" customHeight="1" x14ac:dyDescent="0.35"/>
    <row r="675" customFormat="1" ht="15.75" customHeight="1" x14ac:dyDescent="0.35"/>
    <row r="676" customFormat="1" ht="15.75" customHeight="1" x14ac:dyDescent="0.35"/>
    <row r="677" customFormat="1" ht="15.75" customHeight="1" x14ac:dyDescent="0.35"/>
    <row r="678" customFormat="1" ht="15.75" customHeight="1" x14ac:dyDescent="0.35"/>
    <row r="679" customFormat="1" ht="15.75" customHeight="1" x14ac:dyDescent="0.35"/>
    <row r="680" customFormat="1" ht="15.75" customHeight="1" x14ac:dyDescent="0.35"/>
    <row r="681" customFormat="1" ht="15.75" customHeight="1" x14ac:dyDescent="0.35"/>
    <row r="682" customFormat="1" ht="15.75" customHeight="1" x14ac:dyDescent="0.35"/>
    <row r="683" customFormat="1" ht="15.75" customHeight="1" x14ac:dyDescent="0.35"/>
    <row r="684" customFormat="1" ht="15.75" customHeight="1" x14ac:dyDescent="0.35"/>
    <row r="685" customFormat="1" ht="15.75" customHeight="1" x14ac:dyDescent="0.35"/>
    <row r="686" customFormat="1" ht="15.75" customHeight="1" x14ac:dyDescent="0.35"/>
    <row r="687" customFormat="1" ht="15.75" customHeight="1" x14ac:dyDescent="0.35"/>
    <row r="688" customFormat="1" ht="15.75" customHeight="1" x14ac:dyDescent="0.35"/>
    <row r="689" customFormat="1" ht="15.75" customHeight="1" x14ac:dyDescent="0.35"/>
    <row r="690" customFormat="1" ht="15.75" customHeight="1" x14ac:dyDescent="0.35"/>
    <row r="691" customFormat="1" ht="15.75" customHeight="1" x14ac:dyDescent="0.35"/>
    <row r="692" customFormat="1" ht="15.75" customHeight="1" x14ac:dyDescent="0.35"/>
    <row r="693" customFormat="1" ht="15.75" customHeight="1" x14ac:dyDescent="0.35"/>
    <row r="694" customFormat="1" ht="15.75" customHeight="1" x14ac:dyDescent="0.35"/>
    <row r="695" customFormat="1" ht="15.75" customHeight="1" x14ac:dyDescent="0.35"/>
    <row r="696" customFormat="1" ht="15.75" customHeight="1" x14ac:dyDescent="0.35"/>
    <row r="697" customFormat="1" ht="15.75" customHeight="1" x14ac:dyDescent="0.35"/>
    <row r="698" customFormat="1" ht="15.75" customHeight="1" x14ac:dyDescent="0.35"/>
    <row r="699" customFormat="1" ht="15.75" customHeight="1" x14ac:dyDescent="0.35"/>
    <row r="700" customFormat="1" ht="15.75" customHeight="1" x14ac:dyDescent="0.35"/>
    <row r="701" customFormat="1" ht="15.75" customHeight="1" x14ac:dyDescent="0.35"/>
    <row r="702" customFormat="1" ht="15.75" customHeight="1" x14ac:dyDescent="0.35"/>
    <row r="703" customFormat="1" ht="15.75" customHeight="1" x14ac:dyDescent="0.35"/>
    <row r="704" customFormat="1" ht="15.75" customHeight="1" x14ac:dyDescent="0.35"/>
    <row r="705" customFormat="1" ht="15.75" customHeight="1" x14ac:dyDescent="0.35"/>
    <row r="706" customFormat="1" ht="15.75" customHeight="1" x14ac:dyDescent="0.35"/>
    <row r="707" customFormat="1" ht="15.75" customHeight="1" x14ac:dyDescent="0.35"/>
    <row r="708" customFormat="1" ht="15.75" customHeight="1" x14ac:dyDescent="0.35"/>
    <row r="709" customFormat="1" ht="15.75" customHeight="1" x14ac:dyDescent="0.35"/>
    <row r="710" customFormat="1" ht="15.75" customHeight="1" x14ac:dyDescent="0.35"/>
    <row r="711" customFormat="1" ht="15.75" customHeight="1" x14ac:dyDescent="0.35"/>
    <row r="712" customFormat="1" ht="15.75" customHeight="1" x14ac:dyDescent="0.35"/>
    <row r="713" customFormat="1" ht="15.75" customHeight="1" x14ac:dyDescent="0.35"/>
    <row r="714" customFormat="1" ht="15.75" customHeight="1" x14ac:dyDescent="0.35"/>
    <row r="715" customFormat="1" ht="15.75" customHeight="1" x14ac:dyDescent="0.35"/>
    <row r="716" customFormat="1" ht="15.75" customHeight="1" x14ac:dyDescent="0.35"/>
    <row r="717" customFormat="1" ht="15.75" customHeight="1" x14ac:dyDescent="0.35"/>
    <row r="718" customFormat="1" ht="15.75" customHeight="1" x14ac:dyDescent="0.35"/>
    <row r="719" customFormat="1" ht="15.75" customHeight="1" x14ac:dyDescent="0.35"/>
    <row r="720" customFormat="1" ht="15.75" customHeight="1" x14ac:dyDescent="0.35"/>
    <row r="721" customFormat="1" ht="15.75" customHeight="1" x14ac:dyDescent="0.35"/>
    <row r="722" customFormat="1" ht="15.75" customHeight="1" x14ac:dyDescent="0.35"/>
    <row r="723" customFormat="1" ht="15.75" customHeight="1" x14ac:dyDescent="0.35"/>
    <row r="724" customFormat="1" ht="15.75" customHeight="1" x14ac:dyDescent="0.35"/>
    <row r="725" customFormat="1" ht="15.75" customHeight="1" x14ac:dyDescent="0.35"/>
    <row r="726" customFormat="1" ht="15.75" customHeight="1" x14ac:dyDescent="0.35"/>
    <row r="727" customFormat="1" ht="15.75" customHeight="1" x14ac:dyDescent="0.35"/>
    <row r="728" customFormat="1" ht="15.75" customHeight="1" x14ac:dyDescent="0.35"/>
    <row r="729" customFormat="1" ht="15.75" customHeight="1" x14ac:dyDescent="0.35"/>
    <row r="730" customFormat="1" ht="15.75" customHeight="1" x14ac:dyDescent="0.35"/>
    <row r="731" customFormat="1" ht="15.75" customHeight="1" x14ac:dyDescent="0.35"/>
    <row r="732" customFormat="1" ht="15.75" customHeight="1" x14ac:dyDescent="0.35"/>
    <row r="733" customFormat="1" ht="15.75" customHeight="1" x14ac:dyDescent="0.35"/>
    <row r="734" customFormat="1" ht="15.75" customHeight="1" x14ac:dyDescent="0.35"/>
    <row r="735" customFormat="1" ht="15.75" customHeight="1" x14ac:dyDescent="0.35"/>
    <row r="736" customFormat="1" ht="15.75" customHeight="1" x14ac:dyDescent="0.35"/>
    <row r="737" customFormat="1" ht="15.75" customHeight="1" x14ac:dyDescent="0.35"/>
    <row r="738" customFormat="1" ht="15.75" customHeight="1" x14ac:dyDescent="0.35"/>
    <row r="739" customFormat="1" ht="15.75" customHeight="1" x14ac:dyDescent="0.35"/>
    <row r="740" customFormat="1" ht="15.75" customHeight="1" x14ac:dyDescent="0.35"/>
    <row r="741" customFormat="1" ht="15.75" customHeight="1" x14ac:dyDescent="0.35"/>
    <row r="742" customFormat="1" ht="15.75" customHeight="1" x14ac:dyDescent="0.35"/>
    <row r="743" customFormat="1" ht="15.75" customHeight="1" x14ac:dyDescent="0.35"/>
    <row r="744" customFormat="1" ht="15.75" customHeight="1" x14ac:dyDescent="0.35"/>
    <row r="745" customFormat="1" ht="15.75" customHeight="1" x14ac:dyDescent="0.35"/>
    <row r="746" customFormat="1" ht="15.75" customHeight="1" x14ac:dyDescent="0.35"/>
    <row r="747" customFormat="1" ht="15.75" customHeight="1" x14ac:dyDescent="0.35"/>
    <row r="748" customFormat="1" ht="15.75" customHeight="1" x14ac:dyDescent="0.35"/>
    <row r="749" customFormat="1" ht="15.75" customHeight="1" x14ac:dyDescent="0.35"/>
    <row r="750" customFormat="1" ht="15.75" customHeight="1" x14ac:dyDescent="0.35"/>
    <row r="751" customFormat="1" ht="15.75" customHeight="1" x14ac:dyDescent="0.35"/>
    <row r="752" customFormat="1" ht="15.75" customHeight="1" x14ac:dyDescent="0.35"/>
    <row r="753" customFormat="1" ht="15.75" customHeight="1" x14ac:dyDescent="0.35"/>
    <row r="754" customFormat="1" ht="15.75" customHeight="1" x14ac:dyDescent="0.35"/>
    <row r="755" customFormat="1" ht="15.75" customHeight="1" x14ac:dyDescent="0.35"/>
    <row r="756" customFormat="1" ht="15.75" customHeight="1" x14ac:dyDescent="0.35"/>
    <row r="757" customFormat="1" ht="15.75" customHeight="1" x14ac:dyDescent="0.35"/>
    <row r="758" customFormat="1" ht="15.75" customHeight="1" x14ac:dyDescent="0.35"/>
    <row r="759" customFormat="1" ht="15.75" customHeight="1" x14ac:dyDescent="0.35"/>
    <row r="760" customFormat="1" ht="15.75" customHeight="1" x14ac:dyDescent="0.35"/>
    <row r="761" customFormat="1" ht="15.75" customHeight="1" x14ac:dyDescent="0.35"/>
    <row r="762" customFormat="1" ht="15.75" customHeight="1" x14ac:dyDescent="0.35"/>
    <row r="763" customFormat="1" ht="15.75" customHeight="1" x14ac:dyDescent="0.35"/>
    <row r="764" customFormat="1" ht="15.75" customHeight="1" x14ac:dyDescent="0.35"/>
    <row r="765" customFormat="1" ht="15.75" customHeight="1" x14ac:dyDescent="0.35"/>
    <row r="766" customFormat="1" ht="15.75" customHeight="1" x14ac:dyDescent="0.35"/>
    <row r="767" customFormat="1" ht="15.75" customHeight="1" x14ac:dyDescent="0.35"/>
    <row r="768" customFormat="1" ht="15.75" customHeight="1" x14ac:dyDescent="0.35"/>
    <row r="769" customFormat="1" ht="15.75" customHeight="1" x14ac:dyDescent="0.35"/>
    <row r="770" customFormat="1" ht="15.75" customHeight="1" x14ac:dyDescent="0.35"/>
    <row r="771" customFormat="1" ht="15.75" customHeight="1" x14ac:dyDescent="0.35"/>
    <row r="772" customFormat="1" ht="15.75" customHeight="1" x14ac:dyDescent="0.35"/>
    <row r="773" customFormat="1" ht="15.75" customHeight="1" x14ac:dyDescent="0.35"/>
    <row r="774" customFormat="1" ht="15.75" customHeight="1" x14ac:dyDescent="0.35"/>
    <row r="775" customFormat="1" ht="15.75" customHeight="1" x14ac:dyDescent="0.35"/>
    <row r="776" customFormat="1" ht="15.75" customHeight="1" x14ac:dyDescent="0.35"/>
    <row r="777" customFormat="1" ht="15.75" customHeight="1" x14ac:dyDescent="0.35"/>
    <row r="778" customFormat="1" ht="15.75" customHeight="1" x14ac:dyDescent="0.35"/>
    <row r="779" customFormat="1" ht="15.75" customHeight="1" x14ac:dyDescent="0.35"/>
    <row r="780" customFormat="1" ht="15.75" customHeight="1" x14ac:dyDescent="0.35"/>
    <row r="781" customFormat="1" ht="15.75" customHeight="1" x14ac:dyDescent="0.35"/>
    <row r="782" customFormat="1" ht="15.75" customHeight="1" x14ac:dyDescent="0.35"/>
    <row r="783" customFormat="1" ht="15.75" customHeight="1" x14ac:dyDescent="0.35"/>
    <row r="784" customFormat="1" ht="15.75" customHeight="1" x14ac:dyDescent="0.35"/>
    <row r="785" customFormat="1" ht="15.75" customHeight="1" x14ac:dyDescent="0.35"/>
    <row r="786" customFormat="1" ht="15.75" customHeight="1" x14ac:dyDescent="0.35"/>
    <row r="787" customFormat="1" ht="15.75" customHeight="1" x14ac:dyDescent="0.35"/>
    <row r="788" customFormat="1" ht="15.75" customHeight="1" x14ac:dyDescent="0.35"/>
    <row r="789" customFormat="1" ht="15.75" customHeight="1" x14ac:dyDescent="0.35"/>
    <row r="790" customFormat="1" ht="15.75" customHeight="1" x14ac:dyDescent="0.35"/>
    <row r="791" customFormat="1" ht="15.75" customHeight="1" x14ac:dyDescent="0.35"/>
    <row r="792" customFormat="1" ht="15.75" customHeight="1" x14ac:dyDescent="0.35"/>
    <row r="793" customFormat="1" ht="15.75" customHeight="1" x14ac:dyDescent="0.35"/>
    <row r="794" customFormat="1" ht="15.75" customHeight="1" x14ac:dyDescent="0.35"/>
    <row r="795" customFormat="1" ht="15.75" customHeight="1" x14ac:dyDescent="0.35"/>
    <row r="796" customFormat="1" ht="15.75" customHeight="1" x14ac:dyDescent="0.35"/>
    <row r="797" customFormat="1" ht="15.75" customHeight="1" x14ac:dyDescent="0.35"/>
    <row r="798" customFormat="1" ht="15.75" customHeight="1" x14ac:dyDescent="0.35"/>
    <row r="799" customFormat="1" ht="15.75" customHeight="1" x14ac:dyDescent="0.35"/>
    <row r="800" customFormat="1" ht="15.75" customHeight="1" x14ac:dyDescent="0.35"/>
    <row r="801" customFormat="1" ht="15.75" customHeight="1" x14ac:dyDescent="0.35"/>
    <row r="802" customFormat="1" ht="15.75" customHeight="1" x14ac:dyDescent="0.35"/>
    <row r="803" customFormat="1" ht="15.75" customHeight="1" x14ac:dyDescent="0.35"/>
    <row r="804" customFormat="1" ht="15.75" customHeight="1" x14ac:dyDescent="0.35"/>
    <row r="805" customFormat="1" ht="15.75" customHeight="1" x14ac:dyDescent="0.35"/>
    <row r="806" customFormat="1" ht="15.75" customHeight="1" x14ac:dyDescent="0.35"/>
    <row r="807" customFormat="1" ht="15.75" customHeight="1" x14ac:dyDescent="0.35"/>
    <row r="808" customFormat="1" ht="15.75" customHeight="1" x14ac:dyDescent="0.35"/>
    <row r="809" customFormat="1" ht="15.75" customHeight="1" x14ac:dyDescent="0.35"/>
    <row r="810" customFormat="1" ht="15.75" customHeight="1" x14ac:dyDescent="0.35"/>
    <row r="811" customFormat="1" ht="15.75" customHeight="1" x14ac:dyDescent="0.35"/>
    <row r="812" customFormat="1" ht="15.75" customHeight="1" x14ac:dyDescent="0.35"/>
    <row r="813" customFormat="1" ht="15.75" customHeight="1" x14ac:dyDescent="0.35"/>
    <row r="814" customFormat="1" ht="15.75" customHeight="1" x14ac:dyDescent="0.35"/>
    <row r="815" customFormat="1" ht="15.75" customHeight="1" x14ac:dyDescent="0.35"/>
    <row r="816" customFormat="1" ht="15.75" customHeight="1" x14ac:dyDescent="0.35"/>
    <row r="817" customFormat="1" ht="15.75" customHeight="1" x14ac:dyDescent="0.35"/>
    <row r="818" customFormat="1" ht="15.75" customHeight="1" x14ac:dyDescent="0.35"/>
    <row r="819" customFormat="1" ht="15.75" customHeight="1" x14ac:dyDescent="0.35"/>
    <row r="820" customFormat="1" ht="15.75" customHeight="1" x14ac:dyDescent="0.35"/>
    <row r="821" customFormat="1" ht="15.75" customHeight="1" x14ac:dyDescent="0.35"/>
    <row r="822" customFormat="1" ht="15.75" customHeight="1" x14ac:dyDescent="0.35"/>
    <row r="823" customFormat="1" ht="15.75" customHeight="1" x14ac:dyDescent="0.35"/>
    <row r="824" customFormat="1" ht="15.75" customHeight="1" x14ac:dyDescent="0.35"/>
    <row r="825" customFormat="1" ht="15.75" customHeight="1" x14ac:dyDescent="0.35"/>
    <row r="826" customFormat="1" ht="15.75" customHeight="1" x14ac:dyDescent="0.35"/>
    <row r="827" customFormat="1" ht="15.75" customHeight="1" x14ac:dyDescent="0.35"/>
    <row r="828" customFormat="1" ht="15.75" customHeight="1" x14ac:dyDescent="0.35"/>
    <row r="829" customFormat="1" ht="15.75" customHeight="1" x14ac:dyDescent="0.35"/>
    <row r="830" customFormat="1" ht="15.75" customHeight="1" x14ac:dyDescent="0.35"/>
    <row r="831" customFormat="1" ht="15.75" customHeight="1" x14ac:dyDescent="0.35"/>
    <row r="832" customFormat="1" ht="15.75" customHeight="1" x14ac:dyDescent="0.35"/>
    <row r="833" customFormat="1" ht="15.75" customHeight="1" x14ac:dyDescent="0.35"/>
    <row r="834" customFormat="1" ht="15.75" customHeight="1" x14ac:dyDescent="0.35"/>
    <row r="835" customFormat="1" ht="15.75" customHeight="1" x14ac:dyDescent="0.35"/>
    <row r="836" customFormat="1" ht="15.75" customHeight="1" x14ac:dyDescent="0.35"/>
    <row r="837" customFormat="1" ht="15.75" customHeight="1" x14ac:dyDescent="0.35"/>
    <row r="838" customFormat="1" ht="15.75" customHeight="1" x14ac:dyDescent="0.35"/>
    <row r="839" customFormat="1" ht="15.75" customHeight="1" x14ac:dyDescent="0.35"/>
    <row r="840" customFormat="1" ht="15.75" customHeight="1" x14ac:dyDescent="0.35"/>
    <row r="841" customFormat="1" ht="15.75" customHeight="1" x14ac:dyDescent="0.35"/>
    <row r="842" customFormat="1" ht="15.75" customHeight="1" x14ac:dyDescent="0.35"/>
    <row r="843" customFormat="1" ht="15.75" customHeight="1" x14ac:dyDescent="0.35"/>
    <row r="844" customFormat="1" ht="15.75" customHeight="1" x14ac:dyDescent="0.35"/>
    <row r="845" customFormat="1" ht="15.75" customHeight="1" x14ac:dyDescent="0.35"/>
    <row r="846" customFormat="1" ht="15.75" customHeight="1" x14ac:dyDescent="0.35"/>
    <row r="847" customFormat="1" ht="15.75" customHeight="1" x14ac:dyDescent="0.35"/>
    <row r="848" customFormat="1" ht="15.75" customHeight="1" x14ac:dyDescent="0.35"/>
    <row r="849" customFormat="1" ht="15.75" customHeight="1" x14ac:dyDescent="0.35"/>
    <row r="850" customFormat="1" ht="15.75" customHeight="1" x14ac:dyDescent="0.35"/>
    <row r="851" customFormat="1" ht="15.75" customHeight="1" x14ac:dyDescent="0.35"/>
    <row r="852" customFormat="1" ht="15.75" customHeight="1" x14ac:dyDescent="0.35"/>
    <row r="853" customFormat="1" ht="15.75" customHeight="1" x14ac:dyDescent="0.35"/>
    <row r="854" customFormat="1" ht="15.75" customHeight="1" x14ac:dyDescent="0.35"/>
    <row r="855" customFormat="1" ht="15.75" customHeight="1" x14ac:dyDescent="0.35"/>
    <row r="856" customFormat="1" ht="15.75" customHeight="1" x14ac:dyDescent="0.35"/>
    <row r="857" customFormat="1" ht="15.75" customHeight="1" x14ac:dyDescent="0.35"/>
    <row r="858" customFormat="1" ht="15.75" customHeight="1" x14ac:dyDescent="0.35"/>
    <row r="859" customFormat="1" ht="15.75" customHeight="1" x14ac:dyDescent="0.35"/>
    <row r="860" customFormat="1" ht="15.75" customHeight="1" x14ac:dyDescent="0.35"/>
    <row r="861" customFormat="1" ht="15.75" customHeight="1" x14ac:dyDescent="0.35"/>
    <row r="862" customFormat="1" ht="15.75" customHeight="1" x14ac:dyDescent="0.35"/>
    <row r="863" customFormat="1" ht="15.75" customHeight="1" x14ac:dyDescent="0.35"/>
    <row r="864" customFormat="1" ht="15.75" customHeight="1" x14ac:dyDescent="0.35"/>
    <row r="865" customFormat="1" ht="15.75" customHeight="1" x14ac:dyDescent="0.35"/>
    <row r="866" customFormat="1" ht="15.75" customHeight="1" x14ac:dyDescent="0.35"/>
    <row r="867" customFormat="1" ht="15.75" customHeight="1" x14ac:dyDescent="0.35"/>
    <row r="868" customFormat="1" ht="15.75" customHeight="1" x14ac:dyDescent="0.35"/>
    <row r="869" customFormat="1" ht="15.75" customHeight="1" x14ac:dyDescent="0.35"/>
    <row r="870" customFormat="1" ht="15.75" customHeight="1" x14ac:dyDescent="0.35"/>
    <row r="871" customFormat="1" ht="15.75" customHeight="1" x14ac:dyDescent="0.35"/>
    <row r="872" customFormat="1" ht="15.75" customHeight="1" x14ac:dyDescent="0.35"/>
    <row r="873" customFormat="1" ht="15.75" customHeight="1" x14ac:dyDescent="0.35"/>
    <row r="874" customFormat="1" ht="15.75" customHeight="1" x14ac:dyDescent="0.35"/>
    <row r="875" customFormat="1" ht="15.75" customHeight="1" x14ac:dyDescent="0.35"/>
    <row r="876" customFormat="1" ht="15.75" customHeight="1" x14ac:dyDescent="0.35"/>
    <row r="877" customFormat="1" ht="15.75" customHeight="1" x14ac:dyDescent="0.35"/>
    <row r="878" customFormat="1" ht="15.75" customHeight="1" x14ac:dyDescent="0.35"/>
    <row r="879" customFormat="1" ht="15.75" customHeight="1" x14ac:dyDescent="0.35"/>
    <row r="880" customFormat="1" ht="15.75" customHeight="1" x14ac:dyDescent="0.35"/>
    <row r="881" customFormat="1" ht="15.75" customHeight="1" x14ac:dyDescent="0.35"/>
    <row r="882" customFormat="1" ht="15.75" customHeight="1" x14ac:dyDescent="0.35"/>
    <row r="883" customFormat="1" ht="15.75" customHeight="1" x14ac:dyDescent="0.35"/>
    <row r="884" customFormat="1" ht="15.75" customHeight="1" x14ac:dyDescent="0.35"/>
    <row r="885" customFormat="1" ht="15.75" customHeight="1" x14ac:dyDescent="0.35"/>
    <row r="886" customFormat="1" ht="15.75" customHeight="1" x14ac:dyDescent="0.35"/>
    <row r="887" customFormat="1" ht="15.75" customHeight="1" x14ac:dyDescent="0.35"/>
    <row r="888" customFormat="1" ht="15.75" customHeight="1" x14ac:dyDescent="0.35"/>
    <row r="889" customFormat="1" ht="15.75" customHeight="1" x14ac:dyDescent="0.35"/>
    <row r="890" customFormat="1" ht="15.75" customHeight="1" x14ac:dyDescent="0.35"/>
    <row r="891" customFormat="1" ht="15.75" customHeight="1" x14ac:dyDescent="0.35"/>
    <row r="892" customFormat="1" ht="15.75" customHeight="1" x14ac:dyDescent="0.35"/>
    <row r="893" customFormat="1" ht="15.75" customHeight="1" x14ac:dyDescent="0.35"/>
    <row r="894" customFormat="1" ht="15.75" customHeight="1" x14ac:dyDescent="0.35"/>
    <row r="895" customFormat="1" ht="15.75" customHeight="1" x14ac:dyDescent="0.35"/>
    <row r="896" customFormat="1" ht="15.75" customHeight="1" x14ac:dyDescent="0.35"/>
    <row r="897" customFormat="1" ht="15.75" customHeight="1" x14ac:dyDescent="0.35"/>
    <row r="898" customFormat="1" ht="15.75" customHeight="1" x14ac:dyDescent="0.35"/>
    <row r="899" customFormat="1" ht="15.75" customHeight="1" x14ac:dyDescent="0.35"/>
    <row r="900" customFormat="1" ht="15.75" customHeight="1" x14ac:dyDescent="0.35"/>
    <row r="901" customFormat="1" ht="15.75" customHeight="1" x14ac:dyDescent="0.35"/>
    <row r="902" customFormat="1" ht="15.75" customHeight="1" x14ac:dyDescent="0.35"/>
    <row r="903" customFormat="1" ht="15.75" customHeight="1" x14ac:dyDescent="0.35"/>
    <row r="904" customFormat="1" ht="15.75" customHeight="1" x14ac:dyDescent="0.35"/>
    <row r="905" customFormat="1" ht="15.75" customHeight="1" x14ac:dyDescent="0.35"/>
    <row r="906" customFormat="1" ht="15.75" customHeight="1" x14ac:dyDescent="0.35"/>
    <row r="907" customFormat="1" ht="15.75" customHeight="1" x14ac:dyDescent="0.35"/>
    <row r="908" customFormat="1" ht="15.75" customHeight="1" x14ac:dyDescent="0.35"/>
    <row r="909" customFormat="1" ht="15.75" customHeight="1" x14ac:dyDescent="0.35"/>
    <row r="910" customFormat="1" ht="15.75" customHeight="1" x14ac:dyDescent="0.35"/>
    <row r="911" customFormat="1" ht="15.75" customHeight="1" x14ac:dyDescent="0.35"/>
    <row r="912" customFormat="1" ht="15.75" customHeight="1" x14ac:dyDescent="0.35"/>
    <row r="913" customFormat="1" ht="15.75" customHeight="1" x14ac:dyDescent="0.35"/>
    <row r="914" customFormat="1" ht="15.75" customHeight="1" x14ac:dyDescent="0.35"/>
    <row r="915" customFormat="1" ht="15.75" customHeight="1" x14ac:dyDescent="0.35"/>
    <row r="916" customFormat="1" ht="15.75" customHeight="1" x14ac:dyDescent="0.35"/>
    <row r="917" customFormat="1" ht="15.75" customHeight="1" x14ac:dyDescent="0.35"/>
    <row r="918" customFormat="1" ht="15.75" customHeight="1" x14ac:dyDescent="0.35"/>
    <row r="919" customFormat="1" ht="15.75" customHeight="1" x14ac:dyDescent="0.35"/>
    <row r="920" customFormat="1" ht="15.75" customHeight="1" x14ac:dyDescent="0.35"/>
    <row r="921" customFormat="1" ht="15.75" customHeight="1" x14ac:dyDescent="0.35"/>
    <row r="922" customFormat="1" ht="15.75" customHeight="1" x14ac:dyDescent="0.35"/>
    <row r="923" customFormat="1" ht="15.75" customHeight="1" x14ac:dyDescent="0.35"/>
    <row r="924" customFormat="1" ht="15.75" customHeight="1" x14ac:dyDescent="0.35"/>
    <row r="925" customFormat="1" ht="15.75" customHeight="1" x14ac:dyDescent="0.35"/>
    <row r="926" customFormat="1" ht="15.75" customHeight="1" x14ac:dyDescent="0.35"/>
    <row r="927" customFormat="1" ht="15.75" customHeight="1" x14ac:dyDescent="0.35"/>
    <row r="928" customFormat="1" ht="15.75" customHeight="1" x14ac:dyDescent="0.35"/>
    <row r="929" customFormat="1" ht="15.75" customHeight="1" x14ac:dyDescent="0.35"/>
    <row r="930" customFormat="1" ht="15.75" customHeight="1" x14ac:dyDescent="0.35"/>
    <row r="931" customFormat="1" ht="15.75" customHeight="1" x14ac:dyDescent="0.35"/>
    <row r="932" customFormat="1" ht="15.75" customHeight="1" x14ac:dyDescent="0.35"/>
    <row r="933" customFormat="1" ht="15.75" customHeight="1" x14ac:dyDescent="0.35"/>
    <row r="934" customFormat="1" ht="15.75" customHeight="1" x14ac:dyDescent="0.35"/>
    <row r="935" customFormat="1" ht="15.75" customHeight="1" x14ac:dyDescent="0.35"/>
    <row r="936" customFormat="1" ht="15.75" customHeight="1" x14ac:dyDescent="0.35"/>
    <row r="937" customFormat="1" ht="15.75" customHeight="1" x14ac:dyDescent="0.35"/>
    <row r="938" customFormat="1" ht="15.75" customHeight="1" x14ac:dyDescent="0.35"/>
    <row r="939" customFormat="1" ht="15.75" customHeight="1" x14ac:dyDescent="0.35"/>
    <row r="940" customFormat="1" ht="15.75" customHeight="1" x14ac:dyDescent="0.35"/>
    <row r="941" customFormat="1" ht="15.75" customHeight="1" x14ac:dyDescent="0.35"/>
    <row r="942" customFormat="1" ht="15.75" customHeight="1" x14ac:dyDescent="0.35"/>
    <row r="943" customFormat="1" ht="15.75" customHeight="1" x14ac:dyDescent="0.35"/>
    <row r="944" customFormat="1" ht="15.75" customHeight="1" x14ac:dyDescent="0.35"/>
    <row r="945" customFormat="1" ht="15.75" customHeight="1" x14ac:dyDescent="0.35"/>
    <row r="946" customFormat="1" ht="15.75" customHeight="1" x14ac:dyDescent="0.35"/>
    <row r="947" customFormat="1" ht="15.75" customHeight="1" x14ac:dyDescent="0.35"/>
    <row r="948" customFormat="1" ht="15.75" customHeight="1" x14ac:dyDescent="0.35"/>
    <row r="949" customFormat="1" ht="15.75" customHeight="1" x14ac:dyDescent="0.35"/>
    <row r="950" customFormat="1" ht="15.75" customHeight="1" x14ac:dyDescent="0.35"/>
    <row r="951" customFormat="1" ht="15.75" customHeight="1" x14ac:dyDescent="0.35"/>
    <row r="952" customFormat="1" ht="15.75" customHeight="1" x14ac:dyDescent="0.35"/>
    <row r="953" customFormat="1" ht="15.75" customHeight="1" x14ac:dyDescent="0.35"/>
    <row r="954" customFormat="1" ht="15.75" customHeight="1" x14ac:dyDescent="0.35"/>
    <row r="955" customFormat="1" ht="15.75" customHeight="1" x14ac:dyDescent="0.35"/>
    <row r="956" customFormat="1" ht="15.75" customHeight="1" x14ac:dyDescent="0.35"/>
    <row r="957" customFormat="1" ht="15.75" customHeight="1" x14ac:dyDescent="0.35"/>
    <row r="958" customFormat="1" ht="15.75" customHeight="1" x14ac:dyDescent="0.35"/>
    <row r="959" customFormat="1" ht="15.75" customHeight="1" x14ac:dyDescent="0.35"/>
    <row r="960" customFormat="1" ht="15.75" customHeight="1" x14ac:dyDescent="0.35"/>
    <row r="961" customFormat="1" ht="15.75" customHeight="1" x14ac:dyDescent="0.35"/>
    <row r="962" customFormat="1" ht="15.75" customHeight="1" x14ac:dyDescent="0.35"/>
    <row r="963" customFormat="1" ht="15.75" customHeight="1" x14ac:dyDescent="0.35"/>
    <row r="964" customFormat="1" ht="15.75" customHeight="1" x14ac:dyDescent="0.35"/>
    <row r="965" customFormat="1" ht="15.75" customHeight="1" x14ac:dyDescent="0.35"/>
    <row r="966" customFormat="1" ht="15.75" customHeight="1" x14ac:dyDescent="0.35"/>
    <row r="967" customFormat="1" ht="15.75" customHeight="1" x14ac:dyDescent="0.35"/>
    <row r="968" customFormat="1" ht="15.75" customHeight="1" x14ac:dyDescent="0.35"/>
    <row r="969" customFormat="1" ht="15.75" customHeight="1" x14ac:dyDescent="0.35"/>
    <row r="970" customFormat="1" ht="15.75" customHeight="1" x14ac:dyDescent="0.35"/>
    <row r="971" customFormat="1" ht="15.75" customHeight="1" x14ac:dyDescent="0.35"/>
    <row r="972" customFormat="1" ht="15.75" customHeight="1" x14ac:dyDescent="0.35"/>
    <row r="973" customFormat="1" ht="15.75" customHeight="1" x14ac:dyDescent="0.35"/>
    <row r="974" customFormat="1" ht="15.75" customHeight="1" x14ac:dyDescent="0.35"/>
    <row r="975" customFormat="1" ht="15.75" customHeight="1" x14ac:dyDescent="0.35"/>
    <row r="976" customFormat="1" ht="15.75" customHeight="1" x14ac:dyDescent="0.35"/>
    <row r="977" customFormat="1" ht="15.75" customHeight="1" x14ac:dyDescent="0.35"/>
    <row r="978" customFormat="1" ht="15.75" customHeight="1" x14ac:dyDescent="0.35"/>
    <row r="979" customFormat="1" ht="15.75" customHeight="1" x14ac:dyDescent="0.35"/>
    <row r="980" customFormat="1" ht="15.75" customHeight="1" x14ac:dyDescent="0.35"/>
    <row r="981" customFormat="1" ht="15.75" customHeight="1" x14ac:dyDescent="0.35"/>
    <row r="982" customFormat="1" ht="15.75" customHeight="1" x14ac:dyDescent="0.35"/>
    <row r="983" customFormat="1" ht="15.75" customHeight="1" x14ac:dyDescent="0.35"/>
    <row r="984" customFormat="1" ht="15.75" customHeight="1" x14ac:dyDescent="0.35"/>
    <row r="985" customFormat="1" ht="15.75" customHeight="1" x14ac:dyDescent="0.35"/>
    <row r="986" customFormat="1" ht="15.75" customHeight="1" x14ac:dyDescent="0.35"/>
    <row r="987" customFormat="1" ht="15.75" customHeight="1" x14ac:dyDescent="0.35"/>
    <row r="988" customFormat="1" ht="15.75" customHeight="1" x14ac:dyDescent="0.35"/>
    <row r="989" customFormat="1" ht="15.75" customHeight="1" x14ac:dyDescent="0.35"/>
    <row r="990" customFormat="1" ht="15.75" customHeight="1" x14ac:dyDescent="0.35"/>
    <row r="991" customFormat="1" ht="15.75" customHeight="1" x14ac:dyDescent="0.35"/>
    <row r="992" customFormat="1" ht="15.75" customHeight="1" x14ac:dyDescent="0.35"/>
    <row r="993" customFormat="1" ht="15.75" customHeight="1" x14ac:dyDescent="0.35"/>
    <row r="994" customFormat="1" ht="15.75" customHeight="1" x14ac:dyDescent="0.35"/>
    <row r="995" customFormat="1" ht="15.75" customHeight="1" x14ac:dyDescent="0.35"/>
    <row r="996" customFormat="1" ht="15.75" customHeight="1" x14ac:dyDescent="0.35"/>
    <row r="997" customFormat="1" ht="15.75" customHeight="1" x14ac:dyDescent="0.35"/>
    <row r="998" customFormat="1" ht="15.75" customHeight="1" x14ac:dyDescent="0.35"/>
    <row r="999" customFormat="1" ht="15.75" customHeight="1" x14ac:dyDescent="0.35"/>
    <row r="1000" customFormat="1" ht="15.75" customHeight="1" x14ac:dyDescent="0.35"/>
  </sheetData>
  <sheetProtection algorithmName="SHA-512" hashValue="QTN7h3OMH7HqWa9F/I7SHdo4qLdOixxUNyE1kyoskB4muSdC2tRypl1a5PWc+xHW9MkcXE5ngOw8Ia7oPO5qsA==" saltValue="F7i3TURWu8SzioOXVPwhMQ==" spinCount="100000" sheet="1" objects="1" scenarios="1" selectLockedCells="1"/>
  <mergeCells count="128">
    <mergeCell ref="I3:L3"/>
    <mergeCell ref="B4:D4"/>
    <mergeCell ref="I4:J4"/>
    <mergeCell ref="K4:L4"/>
    <mergeCell ref="P4:P5"/>
    <mergeCell ref="Q4:R5"/>
    <mergeCell ref="B5:D5"/>
    <mergeCell ref="I7:J7"/>
    <mergeCell ref="I8:J8"/>
    <mergeCell ref="I5:J5"/>
    <mergeCell ref="K5:L5"/>
    <mergeCell ref="A6:A9"/>
    <mergeCell ref="B6:D9"/>
    <mergeCell ref="I6:J6"/>
    <mergeCell ref="K6:L6"/>
    <mergeCell ref="K7:L7"/>
    <mergeCell ref="K8:L8"/>
    <mergeCell ref="I9:J9"/>
    <mergeCell ref="K9:L9"/>
    <mergeCell ref="I10:J10"/>
    <mergeCell ref="K10:L10"/>
    <mergeCell ref="I11:J11"/>
    <mergeCell ref="K11:L11"/>
    <mergeCell ref="G17:H17"/>
    <mergeCell ref="G18:H18"/>
    <mergeCell ref="G19:H19"/>
    <mergeCell ref="M19:M20"/>
    <mergeCell ref="G20:H20"/>
    <mergeCell ref="I12:J12"/>
    <mergeCell ref="K12:L12"/>
    <mergeCell ref="I14:L14"/>
    <mergeCell ref="P14:S14"/>
    <mergeCell ref="D17:E17"/>
    <mergeCell ref="P17:S20"/>
    <mergeCell ref="D18:E18"/>
    <mergeCell ref="D19:E19"/>
    <mergeCell ref="F19:F20"/>
    <mergeCell ref="D20:E20"/>
    <mergeCell ref="A23:A24"/>
    <mergeCell ref="B23:B24"/>
    <mergeCell ref="C23:C24"/>
    <mergeCell ref="D23:E24"/>
    <mergeCell ref="M23:M24"/>
    <mergeCell ref="P23:S27"/>
    <mergeCell ref="D25:E25"/>
    <mergeCell ref="D26:E26"/>
    <mergeCell ref="D27:E27"/>
    <mergeCell ref="G25:I25"/>
    <mergeCell ref="G26:I26"/>
    <mergeCell ref="G28:I28"/>
    <mergeCell ref="G29:I29"/>
    <mergeCell ref="G30:I30"/>
    <mergeCell ref="G31:I31"/>
    <mergeCell ref="J34:L34"/>
    <mergeCell ref="F23:F24"/>
    <mergeCell ref="G23:I24"/>
    <mergeCell ref="J23:J24"/>
    <mergeCell ref="K23:K24"/>
    <mergeCell ref="L23:L24"/>
    <mergeCell ref="G27:I27"/>
    <mergeCell ref="D28:E28"/>
    <mergeCell ref="D29:E29"/>
    <mergeCell ref="D30:E30"/>
    <mergeCell ref="D31:E31"/>
    <mergeCell ref="A40:C40"/>
    <mergeCell ref="A41:C41"/>
    <mergeCell ref="A42:C42"/>
    <mergeCell ref="A43:C43"/>
    <mergeCell ref="A44:C44"/>
    <mergeCell ref="A37:C38"/>
    <mergeCell ref="D37:D38"/>
    <mergeCell ref="E37:E38"/>
    <mergeCell ref="A90:D90"/>
    <mergeCell ref="A45:C45"/>
    <mergeCell ref="A60:D60"/>
    <mergeCell ref="A61:D61"/>
    <mergeCell ref="A65:D66"/>
    <mergeCell ref="A51:D52"/>
    <mergeCell ref="A79:D80"/>
    <mergeCell ref="E65:E66"/>
    <mergeCell ref="A67:D67"/>
    <mergeCell ref="A68:D68"/>
    <mergeCell ref="A69:D69"/>
    <mergeCell ref="A76:D76"/>
    <mergeCell ref="A70:D70"/>
    <mergeCell ref="A71:D71"/>
    <mergeCell ref="A72:D72"/>
    <mergeCell ref="A73:D73"/>
    <mergeCell ref="A74:D74"/>
    <mergeCell ref="A75:D75"/>
    <mergeCell ref="E79:E80"/>
    <mergeCell ref="H37:N38"/>
    <mergeCell ref="P37:S48"/>
    <mergeCell ref="A39:C39"/>
    <mergeCell ref="H39:N48"/>
    <mergeCell ref="A48:C48"/>
    <mergeCell ref="H51:N52"/>
    <mergeCell ref="A46:C46"/>
    <mergeCell ref="A47:C47"/>
    <mergeCell ref="E51:E52"/>
    <mergeCell ref="P51:S62"/>
    <mergeCell ref="A53:D53"/>
    <mergeCell ref="F53:F62"/>
    <mergeCell ref="A62:D62"/>
    <mergeCell ref="H79:N80"/>
    <mergeCell ref="A81:D81"/>
    <mergeCell ref="H81:N91"/>
    <mergeCell ref="F81:F91"/>
    <mergeCell ref="A91:D91"/>
    <mergeCell ref="H53:N62"/>
    <mergeCell ref="H65:N66"/>
    <mergeCell ref="P65:S76"/>
    <mergeCell ref="F67:F76"/>
    <mergeCell ref="H67:N76"/>
    <mergeCell ref="A54:D54"/>
    <mergeCell ref="A55:D55"/>
    <mergeCell ref="A56:D56"/>
    <mergeCell ref="A57:D57"/>
    <mergeCell ref="A58:D58"/>
    <mergeCell ref="A59:D59"/>
    <mergeCell ref="A82:D82"/>
    <mergeCell ref="A83:D83"/>
    <mergeCell ref="A84:D84"/>
    <mergeCell ref="A85:D85"/>
    <mergeCell ref="A86:D86"/>
    <mergeCell ref="A87:D87"/>
    <mergeCell ref="A88:D88"/>
    <mergeCell ref="A89:D89"/>
  </mergeCells>
  <conditionalFormatting sqref="C18">
    <cfRule type="cellIs" dxfId="19" priority="1" operator="equal">
      <formula>1</formula>
    </cfRule>
  </conditionalFormatting>
  <conditionalFormatting sqref="C20">
    <cfRule type="cellIs" dxfId="18" priority="2" operator="equal">
      <formula>1</formula>
    </cfRule>
  </conditionalFormatting>
  <conditionalFormatting sqref="C25:C31">
    <cfRule type="cellIs" dxfId="17" priority="3" operator="equal">
      <formula>1</formula>
    </cfRule>
  </conditionalFormatting>
  <conditionalFormatting sqref="J26:N31">
    <cfRule type="expression" dxfId="16" priority="4">
      <formula>ISBLANK($A26)</formula>
    </cfRule>
  </conditionalFormatting>
  <conditionalFormatting sqref="K5:K12">
    <cfRule type="cellIs" dxfId="15" priority="5" operator="equal">
      <formula>0</formula>
    </cfRule>
    <cfRule type="expression" dxfId="14" priority="6">
      <formula>0</formula>
    </cfRule>
  </conditionalFormatting>
  <conditionalFormatting sqref="K18">
    <cfRule type="expression" dxfId="13" priority="7">
      <formula>ISBLANK(A18)</formula>
    </cfRule>
  </conditionalFormatting>
  <conditionalFormatting sqref="K25:K31">
    <cfRule type="cellIs" dxfId="12" priority="8" operator="equal">
      <formula>1510</formula>
    </cfRule>
  </conditionalFormatting>
  <conditionalFormatting sqref="M18">
    <cfRule type="expression" dxfId="11" priority="9">
      <formula>ISBLANK(A18)</formula>
    </cfRule>
  </conditionalFormatting>
  <conditionalFormatting sqref="M25:M31">
    <cfRule type="expression" dxfId="10" priority="10">
      <formula>ISBLANK($A25)</formula>
    </cfRule>
  </conditionalFormatting>
  <pageMargins left="0.23622047244094491" right="0.23622047244094491" top="0.74803149606299213" bottom="0.74803149606299213" header="0" footer="0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00000000-0002-0000-0000-000001000000}">
          <x14:formula1>
            <xm:f>Stammdaten!$E$40:$E$41</xm:f>
          </x14:formula1>
          <xm:sqref>D25:D31</xm:sqref>
        </x14:dataValidation>
        <x14:dataValidation type="list" allowBlank="1" showErrorMessage="1" xr:uid="{00000000-0002-0000-0000-000002000000}">
          <x14:formula1>
            <xm:f>Stammdaten!$E$24:$E$29</xm:f>
          </x14:formula1>
          <xm:sqref>F18</xm:sqref>
        </x14:dataValidation>
        <x14:dataValidation type="list" allowBlank="1" showErrorMessage="1" xr:uid="{00000000-0002-0000-0000-000003000000}">
          <x14:formula1>
            <xm:f>Stammdaten!$E$8:$E$14</xm:f>
          </x14:formula1>
          <xm:sqref>D18</xm:sqref>
        </x14:dataValidation>
        <x14:dataValidation type="list" allowBlank="1" showErrorMessage="1" xr:uid="{00000000-0002-0000-0000-000000000000}">
          <x14:formula1>
            <xm:f>Stammdaten!$E$44:$E$54</xm:f>
          </x14:formula1>
          <xm:sqref>B4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00"/>
  <sheetViews>
    <sheetView workbookViewId="0"/>
  </sheetViews>
  <sheetFormatPr baseColWidth="10" defaultColWidth="14.453125" defaultRowHeight="15" customHeight="1" x14ac:dyDescent="0.35"/>
  <cols>
    <col min="1" max="26" width="10.7265625" customWidth="1"/>
  </cols>
  <sheetData>
    <row r="1" spans="1:13" ht="45" customHeight="1" x14ac:dyDescent="0.35">
      <c r="A1" s="157" t="s">
        <v>42</v>
      </c>
      <c r="B1" s="114"/>
      <c r="C1" s="114"/>
      <c r="D1" s="114"/>
      <c r="E1" s="114"/>
      <c r="F1" s="114"/>
      <c r="G1" s="115"/>
      <c r="H1" s="38" t="s">
        <v>43</v>
      </c>
      <c r="I1" s="39"/>
      <c r="J1" s="39"/>
      <c r="K1" s="39"/>
      <c r="L1" s="40"/>
    </row>
    <row r="2" spans="1:13" ht="14.5" x14ac:dyDescent="0.35">
      <c r="A2" s="41" t="s">
        <v>44</v>
      </c>
      <c r="B2" s="42">
        <v>1</v>
      </c>
      <c r="C2" s="42">
        <v>2</v>
      </c>
      <c r="D2" s="42">
        <v>3</v>
      </c>
      <c r="E2" s="42">
        <v>4</v>
      </c>
      <c r="F2" s="42">
        <v>5</v>
      </c>
      <c r="G2" s="42">
        <v>6</v>
      </c>
      <c r="I2" s="38"/>
      <c r="J2" s="39"/>
      <c r="K2" s="39"/>
      <c r="L2" s="39"/>
      <c r="M2" s="40"/>
    </row>
    <row r="3" spans="1:13" ht="14.5" x14ac:dyDescent="0.35">
      <c r="A3" s="43" t="s">
        <v>45</v>
      </c>
      <c r="B3" s="44">
        <v>8074.5577192814899</v>
      </c>
      <c r="C3" s="44">
        <v>8948.9164500357001</v>
      </c>
      <c r="D3" s="44">
        <v>9778.7436245382396</v>
      </c>
      <c r="E3" s="44">
        <v>10322.979240705848</v>
      </c>
      <c r="F3" s="44">
        <v>10456.85961789992</v>
      </c>
      <c r="G3" s="45"/>
      <c r="H3" s="46">
        <v>0.32529999999999998</v>
      </c>
      <c r="I3" s="41"/>
      <c r="J3" s="41">
        <v>2018</v>
      </c>
      <c r="K3" s="41">
        <v>2019</v>
      </c>
      <c r="L3" s="41">
        <v>2020</v>
      </c>
      <c r="M3" s="41">
        <v>2022</v>
      </c>
    </row>
    <row r="4" spans="1:13" ht="29" x14ac:dyDescent="0.35">
      <c r="A4" s="43" t="s">
        <v>46</v>
      </c>
      <c r="B4" s="44">
        <v>6639.1065744551306</v>
      </c>
      <c r="C4" s="44">
        <v>7128.7588920150502</v>
      </c>
      <c r="D4" s="44">
        <v>7387.5068438255694</v>
      </c>
      <c r="E4" s="44">
        <v>8306.5529717982099</v>
      </c>
      <c r="F4" s="44">
        <v>9002.4867823594486</v>
      </c>
      <c r="G4" s="44">
        <v>9268.8579547939808</v>
      </c>
      <c r="H4" s="46">
        <v>0.32529999999999998</v>
      </c>
      <c r="I4" s="41" t="s">
        <v>47</v>
      </c>
      <c r="J4" s="47">
        <v>0.35</v>
      </c>
      <c r="K4" s="46">
        <v>0.33979999999999999</v>
      </c>
      <c r="L4" s="46">
        <v>0.32950000000000002</v>
      </c>
      <c r="M4" s="46">
        <v>0.32529999999999998</v>
      </c>
    </row>
    <row r="5" spans="1:13" ht="29" x14ac:dyDescent="0.35">
      <c r="A5" s="43" t="s">
        <v>48</v>
      </c>
      <c r="B5" s="44">
        <v>6022.6646436887195</v>
      </c>
      <c r="C5" s="44">
        <v>6468.48668934739</v>
      </c>
      <c r="D5" s="44">
        <v>6834.3233588164894</v>
      </c>
      <c r="E5" s="44">
        <v>7387.5068438255694</v>
      </c>
      <c r="F5" s="44">
        <v>8235.1258620332101</v>
      </c>
      <c r="G5" s="44">
        <v>8478.4975051234087</v>
      </c>
      <c r="H5" s="46">
        <v>0.32529999999999998</v>
      </c>
      <c r="I5" s="41" t="s">
        <v>49</v>
      </c>
      <c r="J5" s="47">
        <v>0.5</v>
      </c>
      <c r="K5" s="46">
        <v>0.4854</v>
      </c>
      <c r="L5" s="46">
        <v>0.47070000000000001</v>
      </c>
      <c r="M5" s="46">
        <v>0.4647</v>
      </c>
    </row>
    <row r="6" spans="1:13" ht="29" x14ac:dyDescent="0.35">
      <c r="A6" s="43" t="s">
        <v>50</v>
      </c>
      <c r="B6" s="45"/>
      <c r="C6" s="44">
        <v>6045.3882015953895</v>
      </c>
      <c r="D6" s="44">
        <v>6361.2130695989135</v>
      </c>
      <c r="E6" s="44">
        <v>7471.0721152444294</v>
      </c>
      <c r="F6" s="44">
        <v>8328.2791466767903</v>
      </c>
      <c r="G6" s="44">
        <v>8574.4037371199229</v>
      </c>
      <c r="H6" s="46">
        <v>0.32529999999999998</v>
      </c>
      <c r="I6" s="41" t="s">
        <v>51</v>
      </c>
      <c r="J6" s="47">
        <v>0.8</v>
      </c>
      <c r="K6" s="46">
        <v>0.77659999999999996</v>
      </c>
      <c r="L6" s="46">
        <v>0.75309999999999999</v>
      </c>
      <c r="M6" s="46">
        <v>0.74350000000000005</v>
      </c>
    </row>
    <row r="7" spans="1:13" ht="14.5" x14ac:dyDescent="0.35">
      <c r="A7" s="43" t="s">
        <v>52</v>
      </c>
      <c r="B7" s="44">
        <v>5625.5185627545934</v>
      </c>
      <c r="C7" s="44">
        <v>6045.3882015953895</v>
      </c>
      <c r="D7" s="44">
        <v>6361.2130695989135</v>
      </c>
      <c r="E7" s="44">
        <v>6974.7909039811066</v>
      </c>
      <c r="F7" s="44">
        <v>7822.975118250476</v>
      </c>
      <c r="G7" s="44">
        <v>8053.9303435942602</v>
      </c>
      <c r="H7" s="46">
        <v>0.4647</v>
      </c>
      <c r="I7" s="41" t="s">
        <v>53</v>
      </c>
      <c r="J7" s="158">
        <v>0.95</v>
      </c>
      <c r="K7" s="46">
        <v>0.92190000000000005</v>
      </c>
      <c r="L7" s="46">
        <v>0.89400000000000002</v>
      </c>
      <c r="M7" s="46">
        <v>0.88295000000000001</v>
      </c>
    </row>
    <row r="8" spans="1:13" ht="14.5" x14ac:dyDescent="0.35">
      <c r="A8" s="43" t="s">
        <v>54</v>
      </c>
      <c r="B8" s="44">
        <v>5082.4158912495532</v>
      </c>
      <c r="C8" s="44">
        <v>5431.7972335637596</v>
      </c>
      <c r="D8" s="44">
        <v>6171.7207755266872</v>
      </c>
      <c r="E8" s="44">
        <v>6821.4030122102768</v>
      </c>
      <c r="F8" s="44">
        <v>7660.5644093166566</v>
      </c>
      <c r="G8" s="44">
        <v>7886.6339170699994</v>
      </c>
      <c r="H8" s="46">
        <v>0.4647</v>
      </c>
      <c r="I8" s="41" t="s">
        <v>55</v>
      </c>
      <c r="J8" s="99"/>
      <c r="K8" s="46">
        <v>0.91690000000000005</v>
      </c>
      <c r="L8" s="46">
        <v>0.8891</v>
      </c>
      <c r="M8" s="46">
        <v>0.88295000000000001</v>
      </c>
    </row>
    <row r="9" spans="1:13" ht="14.5" x14ac:dyDescent="0.35">
      <c r="A9" s="43" t="s">
        <v>56</v>
      </c>
      <c r="B9" s="44">
        <v>5031.9931057363738</v>
      </c>
      <c r="C9" s="44">
        <v>5361.9588387901804</v>
      </c>
      <c r="D9" s="44">
        <v>5737.806109641856</v>
      </c>
      <c r="E9" s="44">
        <v>6309.7744636295265</v>
      </c>
      <c r="F9" s="44">
        <v>7140.0463419419339</v>
      </c>
      <c r="G9" s="44">
        <v>7350.4273586867466</v>
      </c>
      <c r="H9" s="46">
        <v>0.74350000000000005</v>
      </c>
    </row>
    <row r="10" spans="1:13" ht="14.5" x14ac:dyDescent="0.35">
      <c r="A10" s="43" t="s">
        <v>57</v>
      </c>
      <c r="B10" s="44">
        <v>4858.7523680518198</v>
      </c>
      <c r="C10" s="44">
        <v>5182.554909461137</v>
      </c>
      <c r="D10" s="44">
        <v>5553.2997558576799</v>
      </c>
      <c r="E10" s="44">
        <v>5931.5102548780496</v>
      </c>
      <c r="F10" s="44">
        <v>6651.126659677946</v>
      </c>
      <c r="G10" s="44">
        <v>6846.8449198306398</v>
      </c>
      <c r="H10" s="46">
        <v>0.74350000000000005</v>
      </c>
    </row>
    <row r="11" spans="1:13" ht="14.5" x14ac:dyDescent="0.35">
      <c r="A11" s="43" t="s">
        <v>58</v>
      </c>
      <c r="B11" s="44">
        <v>4339.0704372964901</v>
      </c>
      <c r="C11" s="44">
        <v>4651.2448219212129</v>
      </c>
      <c r="D11" s="44">
        <v>4854.6167187566061</v>
      </c>
      <c r="E11" s="44">
        <v>5416.5950627584361</v>
      </c>
      <c r="F11" s="44">
        <v>5894.6385244733228</v>
      </c>
      <c r="G11" s="44">
        <v>6067.6778506662267</v>
      </c>
      <c r="H11" s="46">
        <v>0.74350000000000005</v>
      </c>
    </row>
    <row r="12" spans="1:13" ht="14.5" x14ac:dyDescent="0.35">
      <c r="A12" s="43" t="s">
        <v>59</v>
      </c>
      <c r="B12" s="44">
        <v>4339.0704372964901</v>
      </c>
      <c r="C12" s="44">
        <v>4651.2448219212129</v>
      </c>
      <c r="D12" s="44">
        <v>4719.0533574433794</v>
      </c>
      <c r="E12" s="44">
        <v>4854.6167187566061</v>
      </c>
      <c r="F12" s="44">
        <v>5416.5950627584361</v>
      </c>
      <c r="G12" s="44">
        <v>5573.5483244848938</v>
      </c>
      <c r="H12" s="46">
        <v>0.74350000000000005</v>
      </c>
    </row>
    <row r="13" spans="1:13" ht="14.5" x14ac:dyDescent="0.35">
      <c r="A13" s="43" t="s">
        <v>60</v>
      </c>
      <c r="B13" s="44">
        <v>4128.4530054992329</v>
      </c>
      <c r="C13" s="44">
        <v>4436.6175582908672</v>
      </c>
      <c r="D13" s="44">
        <v>4607.8985171105669</v>
      </c>
      <c r="E13" s="44">
        <v>4770.6819422306999</v>
      </c>
      <c r="F13" s="44">
        <v>4950.5690294298329</v>
      </c>
      <c r="G13" s="44">
        <v>5061.919299298117</v>
      </c>
      <c r="H13" s="46">
        <v>0.88295000000000001</v>
      </c>
    </row>
    <row r="14" spans="1:13" ht="14.5" x14ac:dyDescent="0.35">
      <c r="A14" s="43" t="s">
        <v>61</v>
      </c>
      <c r="B14" s="44">
        <v>3892.1102591044164</v>
      </c>
      <c r="C14" s="44">
        <v>4193.0532656849173</v>
      </c>
      <c r="D14" s="44">
        <v>4419.4595988719338</v>
      </c>
      <c r="E14" s="44">
        <v>4590.7812806965831</v>
      </c>
      <c r="F14" s="44">
        <v>4727.8549153582835</v>
      </c>
      <c r="G14" s="44">
        <v>4847.7570162660668</v>
      </c>
      <c r="H14" s="46">
        <v>0.88295000000000001</v>
      </c>
    </row>
    <row r="15" spans="1:13" ht="14.5" x14ac:dyDescent="0.35">
      <c r="A15" s="43" t="s">
        <v>62</v>
      </c>
      <c r="B15" s="44">
        <v>3828.7316890672332</v>
      </c>
      <c r="C15" s="44">
        <v>4126.6068959414997</v>
      </c>
      <c r="D15" s="44">
        <v>4292.7431818025161</v>
      </c>
      <c r="E15" s="44">
        <v>4462.3137744143169</v>
      </c>
      <c r="F15" s="44">
        <v>4573.6504699476163</v>
      </c>
      <c r="G15" s="44">
        <v>4693.5661451903834</v>
      </c>
      <c r="H15" s="46">
        <v>0.88295000000000001</v>
      </c>
    </row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mergeCells count="2">
    <mergeCell ref="A1:G1"/>
    <mergeCell ref="J7:J8"/>
  </mergeCells>
  <pageMargins left="0.7" right="0.7" top="0.78740157499999996" bottom="0.7874015749999999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000"/>
  <sheetViews>
    <sheetView workbookViewId="0"/>
  </sheetViews>
  <sheetFormatPr baseColWidth="10" defaultColWidth="14.453125" defaultRowHeight="15" customHeight="1" x14ac:dyDescent="0.35"/>
  <cols>
    <col min="1" max="26" width="10.7265625" customWidth="1"/>
  </cols>
  <sheetData>
    <row r="1" spans="1:13" ht="45" customHeight="1" x14ac:dyDescent="0.35">
      <c r="A1" s="157" t="s">
        <v>63</v>
      </c>
      <c r="B1" s="114"/>
      <c r="C1" s="114"/>
      <c r="D1" s="114"/>
      <c r="E1" s="114"/>
      <c r="F1" s="114"/>
      <c r="G1" s="115"/>
      <c r="H1" s="38" t="s">
        <v>43</v>
      </c>
      <c r="I1" s="39"/>
      <c r="J1" s="39"/>
      <c r="K1" s="39"/>
      <c r="L1" s="40"/>
    </row>
    <row r="2" spans="1:13" ht="14.5" x14ac:dyDescent="0.35">
      <c r="A2" s="41" t="s">
        <v>44</v>
      </c>
      <c r="B2" s="42">
        <v>1</v>
      </c>
      <c r="C2" s="42">
        <v>2</v>
      </c>
      <c r="D2" s="42">
        <v>3</v>
      </c>
      <c r="E2" s="42">
        <v>4</v>
      </c>
      <c r="F2" s="42">
        <v>5</v>
      </c>
      <c r="G2" s="42">
        <v>6</v>
      </c>
      <c r="I2" s="38"/>
      <c r="J2" s="39"/>
      <c r="K2" s="39"/>
      <c r="L2" s="39"/>
      <c r="M2" s="40"/>
    </row>
    <row r="3" spans="1:13" ht="14.5" x14ac:dyDescent="0.35">
      <c r="A3" s="43" t="s">
        <v>64</v>
      </c>
      <c r="B3" s="48">
        <v>8211.0397638814902</v>
      </c>
      <c r="C3" s="48">
        <v>9085.3984946356995</v>
      </c>
      <c r="D3" s="48">
        <v>9915.2256691382408</v>
      </c>
      <c r="E3" s="48">
        <v>10459.46128530585</v>
      </c>
      <c r="F3" s="48">
        <v>10593.341662499921</v>
      </c>
      <c r="G3" s="48"/>
      <c r="H3" s="49">
        <v>0.32529999999999998</v>
      </c>
      <c r="I3" s="41"/>
      <c r="J3" s="41">
        <v>2018</v>
      </c>
      <c r="K3" s="41">
        <v>2019</v>
      </c>
      <c r="L3" s="41">
        <v>2020</v>
      </c>
      <c r="M3" s="41">
        <v>2022</v>
      </c>
    </row>
    <row r="4" spans="1:13" ht="29" x14ac:dyDescent="0.35">
      <c r="A4" s="43" t="s">
        <v>65</v>
      </c>
      <c r="B4" s="48">
        <v>6775.58861905513</v>
      </c>
      <c r="C4" s="48">
        <v>7265.2409366150505</v>
      </c>
      <c r="D4" s="48">
        <v>7523.9888884255697</v>
      </c>
      <c r="E4" s="48">
        <v>8443.0350163982112</v>
      </c>
      <c r="F4" s="48">
        <v>9138.9688269594499</v>
      </c>
      <c r="G4" s="48">
        <v>9405.3399993939802</v>
      </c>
      <c r="H4" s="49">
        <v>0.32529999999999998</v>
      </c>
      <c r="I4" s="41" t="s">
        <v>47</v>
      </c>
      <c r="J4" s="47">
        <v>0.35</v>
      </c>
      <c r="K4" s="46">
        <v>0.33979999999999999</v>
      </c>
      <c r="L4" s="46">
        <v>0.32950000000000002</v>
      </c>
      <c r="M4" s="46">
        <v>0.32529999999999998</v>
      </c>
    </row>
    <row r="5" spans="1:13" ht="29" x14ac:dyDescent="0.35">
      <c r="A5" s="43" t="s">
        <v>66</v>
      </c>
      <c r="B5" s="48">
        <v>6159.1466882887198</v>
      </c>
      <c r="C5" s="48">
        <v>6604.9687339473903</v>
      </c>
      <c r="D5" s="48">
        <v>6970.8054034164898</v>
      </c>
      <c r="E5" s="48">
        <v>7523.9888884255697</v>
      </c>
      <c r="F5" s="48">
        <v>8371.6079066332113</v>
      </c>
      <c r="G5" s="48">
        <v>8614.9795497234099</v>
      </c>
      <c r="H5" s="49">
        <v>0.32529999999999998</v>
      </c>
      <c r="I5" s="41" t="s">
        <v>49</v>
      </c>
      <c r="J5" s="47">
        <v>0.5</v>
      </c>
      <c r="K5" s="46">
        <v>0.4854</v>
      </c>
      <c r="L5" s="46">
        <v>0.47070000000000001</v>
      </c>
      <c r="M5" s="46">
        <v>0.4647</v>
      </c>
    </row>
    <row r="6" spans="1:13" ht="29" x14ac:dyDescent="0.35">
      <c r="A6" s="43" t="s">
        <v>67</v>
      </c>
      <c r="B6" s="50"/>
      <c r="C6" s="48">
        <v>6183.4140903287225</v>
      </c>
      <c r="D6" s="48">
        <v>6499.2389583322456</v>
      </c>
      <c r="E6" s="48">
        <v>7609.0980039777633</v>
      </c>
      <c r="F6" s="48">
        <v>8466.3050354101233</v>
      </c>
      <c r="G6" s="48">
        <v>8712.4296258532577</v>
      </c>
      <c r="H6" s="49">
        <v>0.32529999999999998</v>
      </c>
      <c r="I6" s="41" t="s">
        <v>51</v>
      </c>
      <c r="J6" s="47">
        <v>0.8</v>
      </c>
      <c r="K6" s="46">
        <v>0.77659999999999996</v>
      </c>
      <c r="L6" s="46">
        <v>0.75309999999999999</v>
      </c>
      <c r="M6" s="46">
        <v>0.74350000000000005</v>
      </c>
    </row>
    <row r="7" spans="1:13" ht="14.5" x14ac:dyDescent="0.35">
      <c r="A7" s="43" t="s">
        <v>68</v>
      </c>
      <c r="B7" s="48">
        <v>5763.5444514879264</v>
      </c>
      <c r="C7" s="48">
        <v>6183.4140903287225</v>
      </c>
      <c r="D7" s="48">
        <v>6499.2389583322456</v>
      </c>
      <c r="E7" s="48">
        <v>7112.8167927144405</v>
      </c>
      <c r="F7" s="48">
        <v>7961.001006983809</v>
      </c>
      <c r="G7" s="48">
        <v>8191.9562323275932</v>
      </c>
      <c r="H7" s="49">
        <v>0.4647</v>
      </c>
      <c r="I7" s="41" t="s">
        <v>53</v>
      </c>
      <c r="J7" s="158">
        <v>0.95</v>
      </c>
      <c r="K7" s="46">
        <v>0.92190000000000005</v>
      </c>
      <c r="L7" s="46">
        <v>0.89400000000000002</v>
      </c>
      <c r="M7" s="46">
        <v>0.88139999999999996</v>
      </c>
    </row>
    <row r="8" spans="1:13" ht="14.5" x14ac:dyDescent="0.35">
      <c r="A8" s="43" t="s">
        <v>69</v>
      </c>
      <c r="B8" s="48">
        <v>5220.4417799828871</v>
      </c>
      <c r="C8" s="48">
        <v>5569.8231222970935</v>
      </c>
      <c r="D8" s="48">
        <v>6309.7466642600202</v>
      </c>
      <c r="E8" s="48">
        <v>6959.4289009436097</v>
      </c>
      <c r="F8" s="48">
        <v>7798.5902980499895</v>
      </c>
      <c r="G8" s="48">
        <v>8024.6598058033323</v>
      </c>
      <c r="H8" s="49">
        <v>0.4647</v>
      </c>
      <c r="I8" s="41" t="s">
        <v>55</v>
      </c>
      <c r="J8" s="99"/>
      <c r="K8" s="46">
        <v>0.91690000000000005</v>
      </c>
      <c r="L8" s="46">
        <v>0.8891</v>
      </c>
      <c r="M8" s="46">
        <v>0.87429999999999997</v>
      </c>
    </row>
    <row r="9" spans="1:13" ht="14.5" x14ac:dyDescent="0.35">
      <c r="A9" s="43" t="s">
        <v>70</v>
      </c>
      <c r="B9" s="48">
        <v>5173.1064612697055</v>
      </c>
      <c r="C9" s="48">
        <v>5503.072194323513</v>
      </c>
      <c r="D9" s="48">
        <v>5878.9194651751895</v>
      </c>
      <c r="E9" s="48">
        <v>6450.8878191628601</v>
      </c>
      <c r="F9" s="48">
        <v>7281.1596974752665</v>
      </c>
      <c r="G9" s="48">
        <v>7491.5541416528558</v>
      </c>
      <c r="H9" s="49">
        <v>0.74350000000000005</v>
      </c>
    </row>
    <row r="10" spans="1:13" ht="14.5" x14ac:dyDescent="0.35">
      <c r="A10" s="43" t="s">
        <v>71</v>
      </c>
      <c r="B10" s="48">
        <v>4999.8657235851533</v>
      </c>
      <c r="C10" s="48">
        <v>5323.6682649944705</v>
      </c>
      <c r="D10" s="48">
        <v>5694.4131113910134</v>
      </c>
      <c r="E10" s="48">
        <v>6072.6236104113832</v>
      </c>
      <c r="F10" s="48">
        <v>6792.2400152112796</v>
      </c>
      <c r="G10" s="48">
        <v>6987.9851302295265</v>
      </c>
      <c r="H10" s="49">
        <v>0.74350000000000005</v>
      </c>
    </row>
    <row r="11" spans="1:13" ht="14.5" x14ac:dyDescent="0.35">
      <c r="A11" s="43" t="s">
        <v>72</v>
      </c>
      <c r="B11" s="48">
        <v>4480.1837928298237</v>
      </c>
      <c r="C11" s="48">
        <v>4792.3581774545464</v>
      </c>
      <c r="D11" s="48">
        <v>4995.7300742899397</v>
      </c>
      <c r="E11" s="48">
        <v>5557.7084182917697</v>
      </c>
      <c r="F11" s="48">
        <v>6035.7518800066564</v>
      </c>
      <c r="G11" s="48">
        <v>6208.7912061995594</v>
      </c>
      <c r="H11" s="49">
        <v>0.74350000000000005</v>
      </c>
    </row>
    <row r="12" spans="1:13" ht="14.5" x14ac:dyDescent="0.35">
      <c r="A12" s="43" t="s">
        <v>73</v>
      </c>
      <c r="B12" s="48">
        <v>4480.1837928298237</v>
      </c>
      <c r="C12" s="48">
        <v>4792.3581774545464</v>
      </c>
      <c r="D12" s="48">
        <v>4860.1667129767129</v>
      </c>
      <c r="E12" s="48">
        <v>4995.7300742899397</v>
      </c>
      <c r="F12" s="48">
        <v>5557.7084182917697</v>
      </c>
      <c r="G12" s="48">
        <v>5714.6616800182273</v>
      </c>
      <c r="H12" s="49">
        <v>0.74350000000000005</v>
      </c>
    </row>
    <row r="13" spans="1:13" ht="14.5" x14ac:dyDescent="0.35">
      <c r="A13" s="43" t="s">
        <v>74</v>
      </c>
      <c r="B13" s="48">
        <v>4271.1102051659</v>
      </c>
      <c r="C13" s="48">
        <v>4579.2747579575325</v>
      </c>
      <c r="D13" s="48">
        <v>4750.5557167772331</v>
      </c>
      <c r="E13" s="48">
        <v>4913.339141897367</v>
      </c>
      <c r="F13" s="48">
        <v>5093.2262290965</v>
      </c>
      <c r="G13" s="48">
        <v>5204.5764989647832</v>
      </c>
      <c r="H13" s="49">
        <v>0.88139999999999996</v>
      </c>
    </row>
    <row r="14" spans="1:13" ht="14.5" x14ac:dyDescent="0.35">
      <c r="A14" s="43" t="s">
        <v>61</v>
      </c>
      <c r="B14" s="48">
        <v>4034.7674587710831</v>
      </c>
      <c r="C14" s="48">
        <v>4335.7104653515835</v>
      </c>
      <c r="D14" s="48">
        <v>4562.1167985386001</v>
      </c>
      <c r="E14" s="48">
        <v>4733.4384803632502</v>
      </c>
      <c r="F14" s="48">
        <v>4870.5121150249497</v>
      </c>
      <c r="G14" s="48">
        <v>4990.4142159327339</v>
      </c>
      <c r="H14" s="49">
        <v>0.88139999999999996</v>
      </c>
    </row>
    <row r="15" spans="1:13" ht="14.5" x14ac:dyDescent="0.35">
      <c r="A15" s="43" t="s">
        <v>62</v>
      </c>
      <c r="B15" s="48">
        <v>3971.3888887338999</v>
      </c>
      <c r="C15" s="48">
        <v>4269.2640956081659</v>
      </c>
      <c r="D15" s="48">
        <v>4435.4003814691823</v>
      </c>
      <c r="E15" s="48">
        <v>4604.9709740809831</v>
      </c>
      <c r="F15" s="48">
        <v>4716.3076696142834</v>
      </c>
      <c r="G15" s="48">
        <v>4836.2233448570496</v>
      </c>
      <c r="H15" s="49">
        <v>0.88139999999999996</v>
      </c>
    </row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mergeCells count="2">
    <mergeCell ref="A1:G1"/>
    <mergeCell ref="J7:J8"/>
  </mergeCells>
  <pageMargins left="0.7" right="0.7" top="0.78740157499999996" bottom="0.78740157499999996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77E03-F685-4F49-8A5B-93527DC8C175}">
  <sheetPr>
    <pageSetUpPr fitToPage="1"/>
  </sheetPr>
  <dimension ref="A1:T1000"/>
  <sheetViews>
    <sheetView showGridLines="0" workbookViewId="0">
      <selection activeCell="G18" sqref="G18:H18"/>
    </sheetView>
  </sheetViews>
  <sheetFormatPr baseColWidth="10" defaultColWidth="14.453125" defaultRowHeight="15" customHeight="1" x14ac:dyDescent="0.35"/>
  <cols>
    <col min="1" max="1" width="18.26953125" customWidth="1"/>
    <col min="2" max="2" width="14.81640625" customWidth="1"/>
    <col min="3" max="3" width="8.26953125" customWidth="1"/>
    <col min="4" max="4" width="12.08984375" customWidth="1"/>
    <col min="5" max="5" width="8.7265625" customWidth="1"/>
    <col min="6" max="6" width="19" customWidth="1"/>
    <col min="7" max="7" width="5.08984375" customWidth="1"/>
    <col min="8" max="8" width="7.08984375" customWidth="1"/>
    <col min="9" max="9" width="12.453125" customWidth="1"/>
    <col min="10" max="10" width="13" customWidth="1"/>
    <col min="11" max="11" width="8.26953125" customWidth="1"/>
    <col min="12" max="12" width="13" customWidth="1"/>
    <col min="13" max="13" width="8.7265625" customWidth="1"/>
    <col min="14" max="14" width="13.453125" customWidth="1"/>
    <col min="15" max="15" width="2" customWidth="1"/>
    <col min="16" max="16" width="10.7265625" customWidth="1"/>
    <col min="17" max="17" width="11.453125" customWidth="1"/>
    <col min="18" max="18" width="13.08984375" customWidth="1"/>
    <col min="19" max="19" width="18" customWidth="1"/>
    <col min="20" max="26" width="10.7265625" customWidth="1"/>
  </cols>
  <sheetData>
    <row r="1" spans="1:19" ht="18.5" x14ac:dyDescent="0.45">
      <c r="A1" s="1" t="s">
        <v>202</v>
      </c>
    </row>
    <row r="2" spans="1:19" ht="14.5" x14ac:dyDescent="0.35">
      <c r="A2" s="71" t="str">
        <f ca="1">CELL("Dateiname")</f>
        <v>H:\Friedrich Schiedel Fellowship\Kalkulation_allgemein\2026\[20260413_FSF3_Cost Calculation Template.xlsx]Example</v>
      </c>
    </row>
    <row r="3" spans="1:19" thickBot="1" x14ac:dyDescent="0.4">
      <c r="A3" s="2"/>
      <c r="I3" s="143" t="s">
        <v>0</v>
      </c>
      <c r="J3" s="102"/>
      <c r="K3" s="102"/>
      <c r="L3" s="102"/>
    </row>
    <row r="4" spans="1:19" ht="14.5" x14ac:dyDescent="0.35">
      <c r="A4" s="3" t="s">
        <v>1</v>
      </c>
      <c r="B4" s="144"/>
      <c r="C4" s="145"/>
      <c r="D4" s="146"/>
      <c r="I4" s="147" t="s">
        <v>2</v>
      </c>
      <c r="J4" s="148"/>
      <c r="K4" s="149">
        <v>20000</v>
      </c>
      <c r="L4" s="150"/>
      <c r="P4" s="160"/>
      <c r="Q4" s="153" t="s">
        <v>3</v>
      </c>
      <c r="R4" s="102"/>
    </row>
    <row r="5" spans="1:19" ht="14.5" x14ac:dyDescent="0.35">
      <c r="A5" s="4" t="s">
        <v>4</v>
      </c>
      <c r="B5" s="154" t="str">
        <f>IFERROR(VLOOKUP($B$4,Stammdaten!$E$44:$G$54,2,FALSE)," ")</f>
        <v xml:space="preserve"> </v>
      </c>
      <c r="C5" s="114"/>
      <c r="D5" s="142"/>
      <c r="I5" s="155" t="s">
        <v>5</v>
      </c>
      <c r="J5" s="115"/>
      <c r="K5" s="156">
        <f>SUM(K6:K11)</f>
        <v>17244.762653202499</v>
      </c>
      <c r="L5" s="142"/>
      <c r="P5" s="99"/>
      <c r="Q5" s="102"/>
      <c r="R5" s="102"/>
    </row>
    <row r="6" spans="1:19" ht="13.5" customHeight="1" x14ac:dyDescent="0.35">
      <c r="A6" s="132" t="s">
        <v>6</v>
      </c>
      <c r="B6" s="135" t="str">
        <f>IFERROR(VLOOKUP($B$4,Stammdaten!$E$44:$G$54,3,FALSE)," ")</f>
        <v xml:space="preserve"> </v>
      </c>
      <c r="C6" s="80"/>
      <c r="D6" s="124"/>
      <c r="E6" s="5"/>
      <c r="I6" s="140" t="str">
        <f>LEFT(A16,18)</f>
        <v>A1. Salary upgrade</v>
      </c>
      <c r="J6" s="115"/>
      <c r="K6" s="141">
        <f>IF(N18=0,N20,N18)</f>
        <v>9565.1686532024996</v>
      </c>
      <c r="L6" s="142"/>
    </row>
    <row r="7" spans="1:19" ht="13.5" customHeight="1" x14ac:dyDescent="0.35">
      <c r="A7" s="133"/>
      <c r="B7" s="101"/>
      <c r="C7" s="102"/>
      <c r="D7" s="136"/>
      <c r="E7" s="6"/>
      <c r="I7" s="140" t="str">
        <f>A22</f>
        <v>A2. Student assistants</v>
      </c>
      <c r="J7" s="115"/>
      <c r="K7" s="141">
        <f>N24</f>
        <v>3779.5940000000001</v>
      </c>
      <c r="L7" s="142"/>
    </row>
    <row r="8" spans="1:19" ht="13.5" customHeight="1" x14ac:dyDescent="0.35">
      <c r="A8" s="133"/>
      <c r="B8" s="101"/>
      <c r="C8" s="102"/>
      <c r="D8" s="136"/>
      <c r="E8" s="6"/>
      <c r="I8" s="140" t="str">
        <f>A36</f>
        <v>B1. Infrastructure</v>
      </c>
      <c r="J8" s="115"/>
      <c r="K8" s="141">
        <f>F38</f>
        <v>2000</v>
      </c>
      <c r="L8" s="142"/>
    </row>
    <row r="9" spans="1:19" ht="13.5" customHeight="1" thickBot="1" x14ac:dyDescent="0.4">
      <c r="A9" s="134"/>
      <c r="B9" s="137"/>
      <c r="C9" s="138"/>
      <c r="D9" s="139"/>
      <c r="E9" s="6"/>
      <c r="I9" s="140" t="str">
        <f>LEFT(A50,22)</f>
        <v>B2. Workshops &amp; Events</v>
      </c>
      <c r="J9" s="115"/>
      <c r="K9" s="141">
        <f>F52</f>
        <v>900</v>
      </c>
      <c r="L9" s="142"/>
    </row>
    <row r="10" spans="1:19" ht="13.5" customHeight="1" x14ac:dyDescent="0.35">
      <c r="B10" s="6"/>
      <c r="C10" s="6"/>
      <c r="D10" s="6"/>
      <c r="E10" s="6"/>
      <c r="I10" s="140" t="str">
        <f>LEFT(A64,16)</f>
        <v>B3. Travel costs</v>
      </c>
      <c r="J10" s="115"/>
      <c r="K10" s="141">
        <f>F66</f>
        <v>500</v>
      </c>
      <c r="L10" s="142"/>
    </row>
    <row r="11" spans="1:19" ht="13.5" customHeight="1" thickBot="1" x14ac:dyDescent="0.4">
      <c r="B11" s="6"/>
      <c r="C11" s="6"/>
      <c r="D11" s="6"/>
      <c r="E11" s="6"/>
      <c r="I11" s="121" t="str">
        <f>A78</f>
        <v>B4. Other costs</v>
      </c>
      <c r="J11" s="122"/>
      <c r="K11" s="123">
        <f>F80</f>
        <v>500</v>
      </c>
      <c r="L11" s="124"/>
    </row>
    <row r="12" spans="1:19" ht="18" customHeight="1" thickBot="1" x14ac:dyDescent="0.4">
      <c r="B12" s="6"/>
      <c r="C12" s="6"/>
      <c r="D12" s="6"/>
      <c r="E12" s="6"/>
      <c r="I12" s="128" t="s">
        <v>7</v>
      </c>
      <c r="J12" s="111"/>
      <c r="K12" s="129">
        <f>K4-K5</f>
        <v>2755.2373467975012</v>
      </c>
      <c r="L12" s="130"/>
    </row>
    <row r="13" spans="1:19" ht="26.25" customHeight="1" thickBot="1" x14ac:dyDescent="0.4"/>
    <row r="14" spans="1:19" ht="19" thickBot="1" x14ac:dyDescent="0.5">
      <c r="A14" s="7" t="s">
        <v>8</v>
      </c>
      <c r="B14" s="8"/>
      <c r="C14" s="8"/>
      <c r="D14" s="8"/>
      <c r="E14" s="8"/>
      <c r="F14" s="8"/>
      <c r="G14" s="8"/>
      <c r="H14" s="8"/>
      <c r="I14" s="131" t="s">
        <v>9</v>
      </c>
      <c r="J14" s="110"/>
      <c r="K14" s="110"/>
      <c r="L14" s="111"/>
      <c r="M14" s="9"/>
      <c r="N14" s="10">
        <f>IF(N20&gt;0,N20+N24,N18+N24)</f>
        <v>13344.762653202499</v>
      </c>
      <c r="P14" s="113" t="s">
        <v>10</v>
      </c>
      <c r="Q14" s="114"/>
      <c r="R14" s="114"/>
      <c r="S14" s="115"/>
    </row>
    <row r="16" spans="1:19" ht="18.5" x14ac:dyDescent="0.45">
      <c r="A16" s="1" t="s">
        <v>11</v>
      </c>
      <c r="D16" s="11"/>
      <c r="E16" s="12"/>
      <c r="F16" s="12"/>
      <c r="J16" s="13">
        <v>45688</v>
      </c>
      <c r="K16" s="13"/>
      <c r="L16" s="13">
        <v>45689</v>
      </c>
      <c r="M16" s="13"/>
    </row>
    <row r="17" spans="1:20" ht="59.25" customHeight="1" thickBot="1" x14ac:dyDescent="0.4">
      <c r="A17" s="14" t="s">
        <v>12</v>
      </c>
      <c r="B17" s="14" t="s">
        <v>13</v>
      </c>
      <c r="C17" s="15" t="s">
        <v>14</v>
      </c>
      <c r="D17" s="116" t="s">
        <v>15</v>
      </c>
      <c r="E17" s="115"/>
      <c r="F17" s="14" t="s">
        <v>16</v>
      </c>
      <c r="G17" s="116" t="s">
        <v>17</v>
      </c>
      <c r="H17" s="115"/>
      <c r="I17" s="14" t="s">
        <v>18</v>
      </c>
      <c r="J17" s="14" t="s">
        <v>206</v>
      </c>
      <c r="K17" s="14" t="s">
        <v>19</v>
      </c>
      <c r="L17" s="14" t="s">
        <v>207</v>
      </c>
      <c r="M17" s="14" t="s">
        <v>20</v>
      </c>
      <c r="N17" s="16" t="s">
        <v>5</v>
      </c>
      <c r="P17" s="117" t="s">
        <v>21</v>
      </c>
      <c r="Q17" s="80"/>
      <c r="R17" s="80"/>
      <c r="S17" s="81"/>
      <c r="T17" s="17"/>
    </row>
    <row r="18" spans="1:20" thickBot="1" x14ac:dyDescent="0.4">
      <c r="A18" s="72">
        <v>46357</v>
      </c>
      <c r="B18" s="72">
        <v>46477</v>
      </c>
      <c r="C18" s="19">
        <f>DATEDIF(A18,B18,"M")+1</f>
        <v>4</v>
      </c>
      <c r="D18" s="106" t="s">
        <v>68</v>
      </c>
      <c r="E18" s="87"/>
      <c r="F18" s="73">
        <v>4</v>
      </c>
      <c r="G18" s="125">
        <v>0.7</v>
      </c>
      <c r="H18" s="87"/>
      <c r="I18" s="74">
        <v>0.3</v>
      </c>
      <c r="J18" s="20">
        <f>IF($B$18&lt;$L$22="WAHR",0,IFERROR(VLOOKUP($D$18,Tabellengehälter_2026!$A$3:$G$21,$F$18+1,FALSE),0))</f>
        <v>7931.3176943000008</v>
      </c>
      <c r="K18" s="21">
        <f>IFERROR(IF($B$18&gt;$J$22,DATEDIF($A$18,$J$22,"M")+1,DATEDIF($A$18,$B$18,"M")+1),0)</f>
        <v>3</v>
      </c>
      <c r="L18" s="20">
        <f>IF($B$18&lt;$L$22=TRUE,0,IFERROR(VLOOKUP($D$18,Tabellengehälter_2027!$A$3:$G$21,$F$18+1,FALSE)," "))</f>
        <v>8089.9424277750004</v>
      </c>
      <c r="M18" s="21">
        <f>C18-K18</f>
        <v>1</v>
      </c>
      <c r="N18" s="22">
        <f>IFERROR((J18*$I$18*$K$18)+($L$18*$I$18*$M$18),0)</f>
        <v>9565.1686532024996</v>
      </c>
      <c r="P18" s="101"/>
      <c r="Q18" s="102"/>
      <c r="R18" s="102"/>
      <c r="S18" s="103"/>
      <c r="T18" s="17"/>
    </row>
    <row r="19" spans="1:20" ht="29.5" thickBot="1" x14ac:dyDescent="0.4">
      <c r="A19" s="14" t="s">
        <v>12</v>
      </c>
      <c r="B19" s="14" t="s">
        <v>13</v>
      </c>
      <c r="C19" s="15" t="s">
        <v>14</v>
      </c>
      <c r="D19" s="116" t="s">
        <v>22</v>
      </c>
      <c r="E19" s="115"/>
      <c r="F19" s="118"/>
      <c r="G19" s="116" t="s">
        <v>17</v>
      </c>
      <c r="H19" s="115"/>
      <c r="I19" s="14" t="s">
        <v>18</v>
      </c>
      <c r="J19" s="23"/>
      <c r="K19" s="24"/>
      <c r="L19" s="23"/>
      <c r="M19" s="126"/>
      <c r="N19" s="25" t="s">
        <v>5</v>
      </c>
      <c r="P19" s="101"/>
      <c r="Q19" s="102"/>
      <c r="R19" s="102"/>
      <c r="S19" s="103"/>
      <c r="T19" s="17"/>
    </row>
    <row r="20" spans="1:20" thickBot="1" x14ac:dyDescent="0.4">
      <c r="A20" s="72"/>
      <c r="B20" s="72"/>
      <c r="C20" s="19">
        <f>DATEDIF(A20,B20,"M")+1</f>
        <v>1</v>
      </c>
      <c r="D20" s="119"/>
      <c r="E20" s="87"/>
      <c r="F20" s="99"/>
      <c r="G20" s="125"/>
      <c r="H20" s="87"/>
      <c r="I20" s="74"/>
      <c r="J20" s="26"/>
      <c r="K20" s="27"/>
      <c r="L20" s="26"/>
      <c r="M20" s="127"/>
      <c r="N20" s="22">
        <f>IFERROR((D20/G20*I20*C20),0)</f>
        <v>0</v>
      </c>
      <c r="P20" s="82"/>
      <c r="Q20" s="83"/>
      <c r="R20" s="83"/>
      <c r="S20" s="84"/>
      <c r="T20" s="17"/>
    </row>
    <row r="21" spans="1:20" ht="15.75" customHeight="1" x14ac:dyDescent="0.35">
      <c r="J21" s="28"/>
      <c r="K21" s="28"/>
      <c r="L21" s="28"/>
      <c r="M21" s="28"/>
    </row>
    <row r="22" spans="1:20" ht="15.75" customHeight="1" x14ac:dyDescent="0.45">
      <c r="A22" s="1" t="s">
        <v>23</v>
      </c>
      <c r="D22" s="11"/>
      <c r="E22" s="12"/>
      <c r="F22" s="12"/>
      <c r="J22" s="13">
        <v>46446</v>
      </c>
      <c r="K22" s="29"/>
      <c r="L22" s="13">
        <v>46447</v>
      </c>
      <c r="M22" s="30"/>
    </row>
    <row r="23" spans="1:20" ht="30" customHeight="1" thickBot="1" x14ac:dyDescent="0.4">
      <c r="A23" s="107" t="s">
        <v>12</v>
      </c>
      <c r="B23" s="107" t="s">
        <v>13</v>
      </c>
      <c r="C23" s="120" t="s">
        <v>14</v>
      </c>
      <c r="D23" s="112" t="s">
        <v>24</v>
      </c>
      <c r="E23" s="81"/>
      <c r="F23" s="107" t="s">
        <v>25</v>
      </c>
      <c r="G23" s="112" t="s">
        <v>26</v>
      </c>
      <c r="H23" s="80"/>
      <c r="I23" s="81"/>
      <c r="J23" s="107" t="s">
        <v>209</v>
      </c>
      <c r="K23" s="107" t="s">
        <v>14</v>
      </c>
      <c r="L23" s="107" t="s">
        <v>210</v>
      </c>
      <c r="M23" s="104" t="s">
        <v>14</v>
      </c>
      <c r="N23" s="16" t="s">
        <v>5</v>
      </c>
      <c r="P23" s="117" t="s">
        <v>27</v>
      </c>
      <c r="Q23" s="80"/>
      <c r="R23" s="80"/>
      <c r="S23" s="81"/>
    </row>
    <row r="24" spans="1:20" ht="15.75" customHeight="1" thickBot="1" x14ac:dyDescent="0.4">
      <c r="A24" s="99"/>
      <c r="B24" s="99"/>
      <c r="C24" s="99"/>
      <c r="D24" s="82"/>
      <c r="E24" s="84"/>
      <c r="F24" s="99"/>
      <c r="G24" s="101"/>
      <c r="H24" s="102"/>
      <c r="I24" s="103"/>
      <c r="J24" s="99"/>
      <c r="K24" s="99"/>
      <c r="L24" s="99"/>
      <c r="M24" s="105"/>
      <c r="N24" s="22">
        <f>IFERROR(SUM(N25:N31),0)</f>
        <v>3779.5940000000001</v>
      </c>
      <c r="P24" s="101"/>
      <c r="Q24" s="102"/>
      <c r="R24" s="102"/>
      <c r="S24" s="103"/>
    </row>
    <row r="25" spans="1:20" ht="15.75" customHeight="1" x14ac:dyDescent="0.35">
      <c r="A25" s="72">
        <v>46143</v>
      </c>
      <c r="B25" s="72">
        <v>46235</v>
      </c>
      <c r="C25" s="19">
        <f t="shared" ref="C25:C31" si="0">DATEDIF(A25,B25,"M")+1</f>
        <v>4</v>
      </c>
      <c r="D25" s="106" t="s">
        <v>75</v>
      </c>
      <c r="E25" s="87"/>
      <c r="F25" s="73">
        <v>4</v>
      </c>
      <c r="G25" s="108"/>
      <c r="H25" s="86"/>
      <c r="I25" s="87"/>
      <c r="J25" s="20">
        <f>IFERROR(IF(F25&gt;8.5,VLOOKUP($F25,Stundensätze!$A$5:$C$43,$O25+1,FALSE)*1.093*1.3,VLOOKUP($F25,Stundensätze!$A$5:$C$43,$O25+1,FALSE)*1.093),0)</f>
        <v>288.55200000000002</v>
      </c>
      <c r="K25" s="20">
        <v>11</v>
      </c>
      <c r="L25" s="20">
        <f>IFERROR(IF(F25&gt;8.5,VLOOKUP($F25,Stundensätze!$A$5:$C$43,$O25+1,FALSE)*1.093*1.3,VLOOKUP($F25,Stundensätze!$E$5:$G$43,$O25+1,FALSE)*1.093),0)</f>
        <v>302.76099999999997</v>
      </c>
      <c r="M25" s="20">
        <v>2</v>
      </c>
      <c r="N25" s="31">
        <f t="shared" ref="N25:N31" si="1">IFERROR(($J25*$K25)+($L25*$M25),0)</f>
        <v>3779.5940000000001</v>
      </c>
      <c r="O25" s="32">
        <f t="shared" ref="O25:O31" si="2">IF(D25="BA/MA",1,2)</f>
        <v>2</v>
      </c>
      <c r="P25" s="101"/>
      <c r="Q25" s="102"/>
      <c r="R25" s="102"/>
      <c r="S25" s="103"/>
    </row>
    <row r="26" spans="1:20" ht="15.75" customHeight="1" x14ac:dyDescent="0.35">
      <c r="A26" s="18"/>
      <c r="B26" s="18"/>
      <c r="C26" s="19">
        <f t="shared" si="0"/>
        <v>1</v>
      </c>
      <c r="D26" s="106"/>
      <c r="E26" s="87"/>
      <c r="F26" s="73"/>
      <c r="G26" s="108"/>
      <c r="H26" s="86"/>
      <c r="I26" s="87"/>
      <c r="J26" s="20">
        <f>IFERROR(IF(F26&gt;8,VLOOKUP($F26,Stundensätze!$A$5:$C$43,$O26+1,FALSE)*1.093*1.3,VLOOKUP($F26,Stundensätze!$A$5:$C$43,$O26+1,FALSE)*1.093),0)</f>
        <v>0</v>
      </c>
      <c r="K26" s="20">
        <f t="shared" ref="K26:K31" si="3">IFERROR(DATEDIF(A26,$J$22,"M")+1,0)</f>
        <v>1526</v>
      </c>
      <c r="L26" s="20">
        <f>IFERROR(IF(F26&gt;8,VLOOKUP($F26,Stundensätze!$A$5:$C$43,$O26+1,FALSE)*1.093*1.3,VLOOKUP($F26,Stundensätze!$E$5:$G$43,$O26+1,FALSE)*1.093),0)</f>
        <v>0</v>
      </c>
      <c r="M26" s="20">
        <f t="shared" ref="M26:M31" si="4">IFERROR(DATEDIF($L$22,B26,"M")+1,0)</f>
        <v>0</v>
      </c>
      <c r="N26" s="20">
        <f t="shared" si="1"/>
        <v>0</v>
      </c>
      <c r="O26" s="32">
        <f t="shared" si="2"/>
        <v>2</v>
      </c>
      <c r="P26" s="101"/>
      <c r="Q26" s="102"/>
      <c r="R26" s="102"/>
      <c r="S26" s="103"/>
    </row>
    <row r="27" spans="1:20" ht="15.75" customHeight="1" x14ac:dyDescent="0.35">
      <c r="A27" s="18"/>
      <c r="B27" s="18"/>
      <c r="C27" s="19">
        <f t="shared" si="0"/>
        <v>1</v>
      </c>
      <c r="D27" s="106"/>
      <c r="E27" s="87"/>
      <c r="F27" s="73"/>
      <c r="G27" s="108"/>
      <c r="H27" s="86"/>
      <c r="I27" s="87"/>
      <c r="J27" s="20">
        <f>IFERROR(IF(F27&gt;8,VLOOKUP($F27,Stundensätze!$A$5:$C$43,$O27+1,FALSE)*1.093*1.3,VLOOKUP($F27,Stundensätze!$A$5:$C$43,$O27+1,FALSE)*1.093),0)</f>
        <v>0</v>
      </c>
      <c r="K27" s="20">
        <f t="shared" si="3"/>
        <v>1526</v>
      </c>
      <c r="L27" s="20">
        <f>IFERROR(IF(F27&gt;8,VLOOKUP($F27,Stundensätze!$A$5:$C$43,$O27+1,FALSE)*1.093*1.3,VLOOKUP($F27,Stundensätze!$E$5:$G$43,$O27+1,FALSE)*1.093),0)</f>
        <v>0</v>
      </c>
      <c r="M27" s="20">
        <f t="shared" si="4"/>
        <v>0</v>
      </c>
      <c r="N27" s="20">
        <f t="shared" si="1"/>
        <v>0</v>
      </c>
      <c r="O27" s="32">
        <f t="shared" si="2"/>
        <v>2</v>
      </c>
      <c r="P27" s="82"/>
      <c r="Q27" s="83"/>
      <c r="R27" s="83"/>
      <c r="S27" s="84"/>
    </row>
    <row r="28" spans="1:20" ht="15.75" customHeight="1" x14ac:dyDescent="0.35">
      <c r="A28" s="18"/>
      <c r="B28" s="18"/>
      <c r="C28" s="19">
        <f t="shared" si="0"/>
        <v>1</v>
      </c>
      <c r="D28" s="106"/>
      <c r="E28" s="87"/>
      <c r="F28" s="73"/>
      <c r="G28" s="108"/>
      <c r="H28" s="86"/>
      <c r="I28" s="87"/>
      <c r="J28" s="20">
        <f>IFERROR(IF(F28&gt;8,VLOOKUP($F28,Stundensätze!$A$5:$C$43,$O28+1,FALSE)*1.093*1.3,VLOOKUP($F28,Stundensätze!$A$5:$C$43,$O28+1,FALSE)*1.093),0)</f>
        <v>0</v>
      </c>
      <c r="K28" s="20">
        <f t="shared" si="3"/>
        <v>1526</v>
      </c>
      <c r="L28" s="20">
        <f>IFERROR(IF(F28&gt;8,VLOOKUP($F28,Stundensätze!$A$5:$C$43,$O28+1,FALSE)*1.093*1.3,VLOOKUP($F28,Stundensätze!$E$5:$G$43,$O28+1,FALSE)*1.093),0)</f>
        <v>0</v>
      </c>
      <c r="M28" s="20">
        <f t="shared" si="4"/>
        <v>0</v>
      </c>
      <c r="N28" s="20">
        <f t="shared" si="1"/>
        <v>0</v>
      </c>
      <c r="O28" s="32">
        <f t="shared" si="2"/>
        <v>2</v>
      </c>
      <c r="P28" s="33"/>
      <c r="Q28" s="33"/>
      <c r="R28" s="33"/>
    </row>
    <row r="29" spans="1:20" ht="15.75" customHeight="1" x14ac:dyDescent="0.35">
      <c r="A29" s="18"/>
      <c r="B29" s="18"/>
      <c r="C29" s="19">
        <f t="shared" si="0"/>
        <v>1</v>
      </c>
      <c r="D29" s="106"/>
      <c r="E29" s="87"/>
      <c r="F29" s="73"/>
      <c r="G29" s="108"/>
      <c r="H29" s="86"/>
      <c r="I29" s="87"/>
      <c r="J29" s="20">
        <f>IFERROR(IF(F29&gt;8,VLOOKUP($F29,Stundensätze!$A$5:$C$43,$O29+1,FALSE)*1.093*1.3,VLOOKUP($F29,Stundensätze!$A$5:$C$43,$O29+1,FALSE)*1.093),0)</f>
        <v>0</v>
      </c>
      <c r="K29" s="20">
        <f t="shared" si="3"/>
        <v>1526</v>
      </c>
      <c r="L29" s="20">
        <f>IFERROR(IF(F29&gt;8,VLOOKUP($F29,Stundensätze!$A$5:$C$43,$O29+1,FALSE)*1.093*1.3,VLOOKUP($F29,Stundensätze!$E$5:$G$43,$O29+1,FALSE)*1.093),0)</f>
        <v>0</v>
      </c>
      <c r="M29" s="20">
        <f t="shared" si="4"/>
        <v>0</v>
      </c>
      <c r="N29" s="20">
        <f t="shared" si="1"/>
        <v>0</v>
      </c>
      <c r="O29" s="32">
        <f t="shared" si="2"/>
        <v>2</v>
      </c>
      <c r="P29" s="33"/>
      <c r="Q29" s="33"/>
      <c r="R29" s="33"/>
    </row>
    <row r="30" spans="1:20" ht="15.75" customHeight="1" x14ac:dyDescent="0.35">
      <c r="A30" s="18"/>
      <c r="B30" s="18"/>
      <c r="C30" s="19">
        <f t="shared" si="0"/>
        <v>1</v>
      </c>
      <c r="D30" s="106"/>
      <c r="E30" s="87"/>
      <c r="F30" s="73"/>
      <c r="G30" s="108"/>
      <c r="H30" s="86"/>
      <c r="I30" s="87"/>
      <c r="J30" s="20">
        <f>IFERROR(IF(F30&gt;8,VLOOKUP($F30,Stundensätze!$A$5:$C$43,$O30+1,FALSE)*1.093*1.3,VLOOKUP($F30,Stundensätze!$A$5:$C$43,$O30+1,FALSE)*1.093),0)</f>
        <v>0</v>
      </c>
      <c r="K30" s="20">
        <f t="shared" si="3"/>
        <v>1526</v>
      </c>
      <c r="L30" s="20">
        <f>IFERROR(IF(F30&gt;8,VLOOKUP($F30,Stundensätze!$A$5:$C$43,$O30+1,FALSE)*1.093*1.3,VLOOKUP($F30,Stundensätze!$E$5:$G$43,$O30+1,FALSE)*1.093),0)</f>
        <v>0</v>
      </c>
      <c r="M30" s="20">
        <f t="shared" si="4"/>
        <v>0</v>
      </c>
      <c r="N30" s="20">
        <f t="shared" si="1"/>
        <v>0</v>
      </c>
      <c r="O30" s="32">
        <f t="shared" si="2"/>
        <v>2</v>
      </c>
      <c r="P30" s="33"/>
      <c r="Q30" s="33"/>
      <c r="R30" s="33"/>
    </row>
    <row r="31" spans="1:20" ht="15.75" customHeight="1" x14ac:dyDescent="0.35">
      <c r="A31" s="18"/>
      <c r="B31" s="18"/>
      <c r="C31" s="19">
        <f t="shared" si="0"/>
        <v>1</v>
      </c>
      <c r="D31" s="106"/>
      <c r="E31" s="87"/>
      <c r="F31" s="73"/>
      <c r="G31" s="108"/>
      <c r="H31" s="86"/>
      <c r="I31" s="87"/>
      <c r="J31" s="20">
        <f>IFERROR(IF(F31&gt;8,VLOOKUP($F31,Stundensätze!$A$5:$C$43,$O31+1,FALSE)*1.093*1.3,VLOOKUP($F31,Stundensätze!$A$5:$C$43,$O31+1,FALSE)*1.093),0)</f>
        <v>0</v>
      </c>
      <c r="K31" s="20">
        <f t="shared" si="3"/>
        <v>1526</v>
      </c>
      <c r="L31" s="20">
        <f>IFERROR(IF(F31&gt;8,VLOOKUP($F31,Stundensätze!$A$5:$C$43,$O31+1,FALSE)*1.093*1.3,VLOOKUP($F31,Stundensätze!$E$5:$G$43,$O31+1,FALSE)*1.093),0)</f>
        <v>0</v>
      </c>
      <c r="M31" s="20">
        <f t="shared" si="4"/>
        <v>0</v>
      </c>
      <c r="N31" s="20">
        <f t="shared" si="1"/>
        <v>0</v>
      </c>
      <c r="O31" s="32">
        <f t="shared" si="2"/>
        <v>2</v>
      </c>
      <c r="P31" s="33"/>
      <c r="Q31" s="33"/>
      <c r="R31" s="33"/>
    </row>
    <row r="32" spans="1:20" ht="15.75" customHeight="1" x14ac:dyDescent="0.35"/>
    <row r="33" spans="1:19" ht="15.75" customHeight="1" thickBot="1" x14ac:dyDescent="0.4"/>
    <row r="34" spans="1:19" ht="15.75" customHeight="1" thickBot="1" x14ac:dyDescent="0.5">
      <c r="A34" s="7" t="s">
        <v>28</v>
      </c>
      <c r="B34" s="8"/>
      <c r="C34" s="8"/>
      <c r="D34" s="8"/>
      <c r="E34" s="8"/>
      <c r="F34" s="8"/>
      <c r="G34" s="8"/>
      <c r="H34" s="8"/>
      <c r="I34" s="8"/>
      <c r="J34" s="109" t="s">
        <v>29</v>
      </c>
      <c r="K34" s="110"/>
      <c r="L34" s="111"/>
      <c r="M34" s="9"/>
      <c r="N34" s="10">
        <f>F38+F52+F66+F80</f>
        <v>3900</v>
      </c>
    </row>
    <row r="35" spans="1:19" ht="15.75" customHeight="1" x14ac:dyDescent="0.35"/>
    <row r="36" spans="1:19" ht="15.75" customHeight="1" x14ac:dyDescent="0.45">
      <c r="A36" s="1" t="s">
        <v>30</v>
      </c>
    </row>
    <row r="37" spans="1:19" ht="15.75" customHeight="1" thickBot="1" x14ac:dyDescent="0.4">
      <c r="A37" s="79" t="s">
        <v>31</v>
      </c>
      <c r="B37" s="80"/>
      <c r="C37" s="81"/>
      <c r="D37" s="107" t="s">
        <v>32</v>
      </c>
      <c r="E37" s="104" t="s">
        <v>33</v>
      </c>
      <c r="F37" s="34" t="s">
        <v>5</v>
      </c>
      <c r="G37" s="35"/>
      <c r="H37" s="79" t="s">
        <v>34</v>
      </c>
      <c r="I37" s="80"/>
      <c r="J37" s="80"/>
      <c r="K37" s="80"/>
      <c r="L37" s="80"/>
      <c r="M37" s="80"/>
      <c r="N37" s="81"/>
      <c r="P37" s="100" t="s">
        <v>212</v>
      </c>
      <c r="Q37" s="80"/>
      <c r="R37" s="80"/>
      <c r="S37" s="81"/>
    </row>
    <row r="38" spans="1:19" ht="15.75" customHeight="1" thickBot="1" x14ac:dyDescent="0.4">
      <c r="A38" s="82"/>
      <c r="B38" s="83"/>
      <c r="C38" s="84"/>
      <c r="D38" s="99"/>
      <c r="E38" s="105"/>
      <c r="F38" s="22">
        <f>SUM(F39:F48)</f>
        <v>2000</v>
      </c>
      <c r="H38" s="82"/>
      <c r="I38" s="83"/>
      <c r="J38" s="83"/>
      <c r="K38" s="83"/>
      <c r="L38" s="83"/>
      <c r="M38" s="83"/>
      <c r="N38" s="84"/>
      <c r="P38" s="101"/>
      <c r="Q38" s="102"/>
      <c r="R38" s="102"/>
      <c r="S38" s="103"/>
    </row>
    <row r="39" spans="1:19" ht="15.75" customHeight="1" x14ac:dyDescent="0.35">
      <c r="A39" s="85" t="s">
        <v>211</v>
      </c>
      <c r="B39" s="86"/>
      <c r="C39" s="87"/>
      <c r="D39" s="75">
        <v>2000</v>
      </c>
      <c r="E39" s="76">
        <v>1</v>
      </c>
      <c r="F39" s="36">
        <f t="shared" ref="F39:F48" si="5">D39*E39</f>
        <v>2000</v>
      </c>
      <c r="H39" s="88"/>
      <c r="I39" s="89"/>
      <c r="J39" s="89"/>
      <c r="K39" s="89"/>
      <c r="L39" s="89"/>
      <c r="M39" s="89"/>
      <c r="N39" s="90"/>
      <c r="P39" s="101"/>
      <c r="Q39" s="102"/>
      <c r="R39" s="102"/>
      <c r="S39" s="103"/>
    </row>
    <row r="40" spans="1:19" ht="15.75" customHeight="1" x14ac:dyDescent="0.35">
      <c r="A40" s="85"/>
      <c r="B40" s="86"/>
      <c r="C40" s="86"/>
      <c r="D40" s="77"/>
      <c r="E40" s="76"/>
      <c r="F40" s="37">
        <f t="shared" si="5"/>
        <v>0</v>
      </c>
      <c r="H40" s="91"/>
      <c r="I40" s="92"/>
      <c r="J40" s="92"/>
      <c r="K40" s="92"/>
      <c r="L40" s="92"/>
      <c r="M40" s="92"/>
      <c r="N40" s="93"/>
      <c r="P40" s="101"/>
      <c r="Q40" s="102"/>
      <c r="R40" s="102"/>
      <c r="S40" s="103"/>
    </row>
    <row r="41" spans="1:19" ht="15.75" customHeight="1" x14ac:dyDescent="0.35">
      <c r="A41" s="85"/>
      <c r="B41" s="86"/>
      <c r="C41" s="86"/>
      <c r="D41" s="77"/>
      <c r="E41" s="76"/>
      <c r="F41" s="37">
        <f t="shared" si="5"/>
        <v>0</v>
      </c>
      <c r="H41" s="91"/>
      <c r="I41" s="92"/>
      <c r="J41" s="92"/>
      <c r="K41" s="92"/>
      <c r="L41" s="92"/>
      <c r="M41" s="92"/>
      <c r="N41" s="93"/>
      <c r="P41" s="101"/>
      <c r="Q41" s="102"/>
      <c r="R41" s="102"/>
      <c r="S41" s="103"/>
    </row>
    <row r="42" spans="1:19" ht="15.75" customHeight="1" x14ac:dyDescent="0.35">
      <c r="A42" s="85"/>
      <c r="B42" s="86"/>
      <c r="C42" s="86"/>
      <c r="D42" s="77"/>
      <c r="E42" s="76"/>
      <c r="F42" s="37">
        <f t="shared" si="5"/>
        <v>0</v>
      </c>
      <c r="H42" s="91"/>
      <c r="I42" s="92"/>
      <c r="J42" s="92"/>
      <c r="K42" s="92"/>
      <c r="L42" s="92"/>
      <c r="M42" s="92"/>
      <c r="N42" s="93"/>
      <c r="P42" s="101"/>
      <c r="Q42" s="102"/>
      <c r="R42" s="102"/>
      <c r="S42" s="103"/>
    </row>
    <row r="43" spans="1:19" ht="15.75" customHeight="1" x14ac:dyDescent="0.35">
      <c r="A43" s="85"/>
      <c r="B43" s="86"/>
      <c r="C43" s="86"/>
      <c r="D43" s="77"/>
      <c r="E43" s="76"/>
      <c r="F43" s="37">
        <f t="shared" si="5"/>
        <v>0</v>
      </c>
      <c r="H43" s="91"/>
      <c r="I43" s="92"/>
      <c r="J43" s="92"/>
      <c r="K43" s="92"/>
      <c r="L43" s="92"/>
      <c r="M43" s="92"/>
      <c r="N43" s="93"/>
      <c r="P43" s="101"/>
      <c r="Q43" s="102"/>
      <c r="R43" s="102"/>
      <c r="S43" s="103"/>
    </row>
    <row r="44" spans="1:19" ht="15.75" customHeight="1" x14ac:dyDescent="0.35">
      <c r="A44" s="85"/>
      <c r="B44" s="86"/>
      <c r="C44" s="86"/>
      <c r="D44" s="77"/>
      <c r="E44" s="76"/>
      <c r="F44" s="37">
        <f t="shared" si="5"/>
        <v>0</v>
      </c>
      <c r="H44" s="91"/>
      <c r="I44" s="92"/>
      <c r="J44" s="92"/>
      <c r="K44" s="92"/>
      <c r="L44" s="92"/>
      <c r="M44" s="92"/>
      <c r="N44" s="93"/>
      <c r="P44" s="101"/>
      <c r="Q44" s="102"/>
      <c r="R44" s="102"/>
      <c r="S44" s="103"/>
    </row>
    <row r="45" spans="1:19" ht="15.75" customHeight="1" x14ac:dyDescent="0.35">
      <c r="A45" s="85"/>
      <c r="B45" s="86"/>
      <c r="C45" s="86"/>
      <c r="D45" s="77"/>
      <c r="E45" s="76"/>
      <c r="F45" s="37">
        <f t="shared" si="5"/>
        <v>0</v>
      </c>
      <c r="H45" s="91"/>
      <c r="I45" s="92"/>
      <c r="J45" s="92"/>
      <c r="K45" s="92"/>
      <c r="L45" s="92"/>
      <c r="M45" s="92"/>
      <c r="N45" s="93"/>
      <c r="P45" s="101"/>
      <c r="Q45" s="102"/>
      <c r="R45" s="102"/>
      <c r="S45" s="103"/>
    </row>
    <row r="46" spans="1:19" ht="15.75" customHeight="1" x14ac:dyDescent="0.35">
      <c r="A46" s="85"/>
      <c r="B46" s="86"/>
      <c r="C46" s="86"/>
      <c r="D46" s="77"/>
      <c r="E46" s="76"/>
      <c r="F46" s="37">
        <f t="shared" si="5"/>
        <v>0</v>
      </c>
      <c r="H46" s="91"/>
      <c r="I46" s="92"/>
      <c r="J46" s="92"/>
      <c r="K46" s="92"/>
      <c r="L46" s="92"/>
      <c r="M46" s="92"/>
      <c r="N46" s="93"/>
      <c r="P46" s="101"/>
      <c r="Q46" s="102"/>
      <c r="R46" s="102"/>
      <c r="S46" s="103"/>
    </row>
    <row r="47" spans="1:19" ht="15.75" customHeight="1" x14ac:dyDescent="0.35">
      <c r="A47" s="85"/>
      <c r="B47" s="86"/>
      <c r="C47" s="86"/>
      <c r="D47" s="77"/>
      <c r="E47" s="76"/>
      <c r="F47" s="37">
        <f t="shared" si="5"/>
        <v>0</v>
      </c>
      <c r="H47" s="91"/>
      <c r="I47" s="92"/>
      <c r="J47" s="92"/>
      <c r="K47" s="92"/>
      <c r="L47" s="92"/>
      <c r="M47" s="92"/>
      <c r="N47" s="93"/>
      <c r="P47" s="101"/>
      <c r="Q47" s="102"/>
      <c r="R47" s="102"/>
      <c r="S47" s="103"/>
    </row>
    <row r="48" spans="1:19" ht="15.75" customHeight="1" x14ac:dyDescent="0.35">
      <c r="A48" s="85"/>
      <c r="B48" s="86"/>
      <c r="C48" s="86"/>
      <c r="D48" s="77"/>
      <c r="E48" s="76"/>
      <c r="F48" s="37">
        <f t="shared" si="5"/>
        <v>0</v>
      </c>
      <c r="H48" s="94"/>
      <c r="I48" s="95"/>
      <c r="J48" s="95"/>
      <c r="K48" s="95"/>
      <c r="L48" s="95"/>
      <c r="M48" s="95"/>
      <c r="N48" s="96"/>
      <c r="P48" s="82"/>
      <c r="Q48" s="83"/>
      <c r="R48" s="83"/>
      <c r="S48" s="84"/>
    </row>
    <row r="49" spans="1:19" ht="15.75" customHeight="1" x14ac:dyDescent="0.35"/>
    <row r="50" spans="1:19" ht="15.75" customHeight="1" x14ac:dyDescent="0.45">
      <c r="A50" s="1" t="s">
        <v>35</v>
      </c>
    </row>
    <row r="51" spans="1:19" ht="15.75" customHeight="1" thickBot="1" x14ac:dyDescent="0.4">
      <c r="A51" s="79" t="s">
        <v>31</v>
      </c>
      <c r="B51" s="80"/>
      <c r="C51" s="80"/>
      <c r="D51" s="81"/>
      <c r="E51" s="104" t="s">
        <v>36</v>
      </c>
      <c r="F51" s="34" t="s">
        <v>5</v>
      </c>
      <c r="H51" s="79" t="s">
        <v>34</v>
      </c>
      <c r="I51" s="80"/>
      <c r="J51" s="80"/>
      <c r="K51" s="80"/>
      <c r="L51" s="80"/>
      <c r="M51" s="80"/>
      <c r="N51" s="81"/>
      <c r="P51" s="100" t="s">
        <v>213</v>
      </c>
      <c r="Q51" s="80"/>
      <c r="R51" s="80"/>
      <c r="S51" s="81"/>
    </row>
    <row r="52" spans="1:19" ht="15.75" customHeight="1" thickBot="1" x14ac:dyDescent="0.4">
      <c r="A52" s="82"/>
      <c r="B52" s="83"/>
      <c r="C52" s="83"/>
      <c r="D52" s="84"/>
      <c r="E52" s="105"/>
      <c r="F52" s="22">
        <f>SUM(E53:E62)</f>
        <v>900</v>
      </c>
      <c r="H52" s="82"/>
      <c r="I52" s="83"/>
      <c r="J52" s="83"/>
      <c r="K52" s="83"/>
      <c r="L52" s="83"/>
      <c r="M52" s="83"/>
      <c r="N52" s="84"/>
      <c r="P52" s="101"/>
      <c r="Q52" s="102"/>
      <c r="R52" s="102"/>
      <c r="S52" s="103"/>
    </row>
    <row r="53" spans="1:19" ht="15.75" customHeight="1" x14ac:dyDescent="0.35">
      <c r="A53" s="85" t="s">
        <v>37</v>
      </c>
      <c r="B53" s="86"/>
      <c r="C53" s="86"/>
      <c r="D53" s="87"/>
      <c r="E53" s="76">
        <v>450</v>
      </c>
      <c r="F53" s="97"/>
      <c r="H53" s="159"/>
      <c r="I53" s="80"/>
      <c r="J53" s="80"/>
      <c r="K53" s="80"/>
      <c r="L53" s="80"/>
      <c r="M53" s="80"/>
      <c r="N53" s="81"/>
      <c r="P53" s="101"/>
      <c r="Q53" s="102"/>
      <c r="R53" s="102"/>
      <c r="S53" s="103"/>
    </row>
    <row r="54" spans="1:19" ht="15.75" customHeight="1" x14ac:dyDescent="0.35">
      <c r="A54" s="85" t="s">
        <v>38</v>
      </c>
      <c r="B54" s="86"/>
      <c r="C54" s="86"/>
      <c r="D54" s="87"/>
      <c r="E54" s="76">
        <v>450</v>
      </c>
      <c r="F54" s="98"/>
      <c r="H54" s="101"/>
      <c r="I54" s="102"/>
      <c r="J54" s="102"/>
      <c r="K54" s="102"/>
      <c r="L54" s="102"/>
      <c r="M54" s="102"/>
      <c r="N54" s="103"/>
      <c r="P54" s="101"/>
      <c r="Q54" s="102"/>
      <c r="R54" s="102"/>
      <c r="S54" s="103"/>
    </row>
    <row r="55" spans="1:19" ht="15.75" customHeight="1" x14ac:dyDescent="0.35">
      <c r="A55" s="85"/>
      <c r="B55" s="86"/>
      <c r="C55" s="86"/>
      <c r="D55" s="87"/>
      <c r="E55" s="76"/>
      <c r="F55" s="98"/>
      <c r="H55" s="101"/>
      <c r="I55" s="102"/>
      <c r="J55" s="102"/>
      <c r="K55" s="102"/>
      <c r="L55" s="102"/>
      <c r="M55" s="102"/>
      <c r="N55" s="103"/>
      <c r="P55" s="101"/>
      <c r="Q55" s="102"/>
      <c r="R55" s="102"/>
      <c r="S55" s="103"/>
    </row>
    <row r="56" spans="1:19" ht="15.75" customHeight="1" x14ac:dyDescent="0.35">
      <c r="A56" s="85"/>
      <c r="B56" s="86"/>
      <c r="C56" s="86"/>
      <c r="D56" s="87"/>
      <c r="E56" s="76"/>
      <c r="F56" s="98"/>
      <c r="H56" s="101"/>
      <c r="I56" s="102"/>
      <c r="J56" s="102"/>
      <c r="K56" s="102"/>
      <c r="L56" s="102"/>
      <c r="M56" s="102"/>
      <c r="N56" s="103"/>
      <c r="P56" s="101"/>
      <c r="Q56" s="102"/>
      <c r="R56" s="102"/>
      <c r="S56" s="103"/>
    </row>
    <row r="57" spans="1:19" ht="15.75" customHeight="1" x14ac:dyDescent="0.35">
      <c r="A57" s="85"/>
      <c r="B57" s="86"/>
      <c r="C57" s="86"/>
      <c r="D57" s="87"/>
      <c r="E57" s="76"/>
      <c r="F57" s="98"/>
      <c r="H57" s="101"/>
      <c r="I57" s="102"/>
      <c r="J57" s="102"/>
      <c r="K57" s="102"/>
      <c r="L57" s="102"/>
      <c r="M57" s="102"/>
      <c r="N57" s="103"/>
      <c r="P57" s="101"/>
      <c r="Q57" s="102"/>
      <c r="R57" s="102"/>
      <c r="S57" s="103"/>
    </row>
    <row r="58" spans="1:19" ht="15.75" customHeight="1" x14ac:dyDescent="0.35">
      <c r="A58" s="85"/>
      <c r="B58" s="86"/>
      <c r="C58" s="86"/>
      <c r="D58" s="87"/>
      <c r="E58" s="76"/>
      <c r="F58" s="98"/>
      <c r="H58" s="101"/>
      <c r="I58" s="102"/>
      <c r="J58" s="102"/>
      <c r="K58" s="102"/>
      <c r="L58" s="102"/>
      <c r="M58" s="102"/>
      <c r="N58" s="103"/>
      <c r="P58" s="101"/>
      <c r="Q58" s="102"/>
      <c r="R58" s="102"/>
      <c r="S58" s="103"/>
    </row>
    <row r="59" spans="1:19" ht="15.75" customHeight="1" x14ac:dyDescent="0.35">
      <c r="A59" s="85"/>
      <c r="B59" s="86"/>
      <c r="C59" s="86"/>
      <c r="D59" s="87"/>
      <c r="E59" s="76"/>
      <c r="F59" s="98"/>
      <c r="H59" s="101"/>
      <c r="I59" s="102"/>
      <c r="J59" s="102"/>
      <c r="K59" s="102"/>
      <c r="L59" s="102"/>
      <c r="M59" s="102"/>
      <c r="N59" s="103"/>
      <c r="P59" s="101"/>
      <c r="Q59" s="102"/>
      <c r="R59" s="102"/>
      <c r="S59" s="103"/>
    </row>
    <row r="60" spans="1:19" ht="15.75" customHeight="1" x14ac:dyDescent="0.35">
      <c r="A60" s="85"/>
      <c r="B60" s="86"/>
      <c r="C60" s="86"/>
      <c r="D60" s="87"/>
      <c r="E60" s="76"/>
      <c r="F60" s="98"/>
      <c r="H60" s="101"/>
      <c r="I60" s="102"/>
      <c r="J60" s="102"/>
      <c r="K60" s="102"/>
      <c r="L60" s="102"/>
      <c r="M60" s="102"/>
      <c r="N60" s="103"/>
      <c r="P60" s="101"/>
      <c r="Q60" s="102"/>
      <c r="R60" s="102"/>
      <c r="S60" s="103"/>
    </row>
    <row r="61" spans="1:19" ht="15.75" customHeight="1" x14ac:dyDescent="0.35">
      <c r="A61" s="85"/>
      <c r="B61" s="86"/>
      <c r="C61" s="86"/>
      <c r="D61" s="87"/>
      <c r="E61" s="76"/>
      <c r="F61" s="98"/>
      <c r="H61" s="101"/>
      <c r="I61" s="102"/>
      <c r="J61" s="102"/>
      <c r="K61" s="102"/>
      <c r="L61" s="102"/>
      <c r="M61" s="102"/>
      <c r="N61" s="103"/>
      <c r="P61" s="101"/>
      <c r="Q61" s="102"/>
      <c r="R61" s="102"/>
      <c r="S61" s="103"/>
    </row>
    <row r="62" spans="1:19" ht="15.75" customHeight="1" x14ac:dyDescent="0.35">
      <c r="A62" s="85"/>
      <c r="B62" s="86"/>
      <c r="C62" s="86"/>
      <c r="D62" s="87"/>
      <c r="E62" s="76"/>
      <c r="F62" s="99"/>
      <c r="H62" s="82"/>
      <c r="I62" s="83"/>
      <c r="J62" s="83"/>
      <c r="K62" s="83"/>
      <c r="L62" s="83"/>
      <c r="M62" s="83"/>
      <c r="N62" s="84"/>
      <c r="P62" s="82"/>
      <c r="Q62" s="83"/>
      <c r="R62" s="83"/>
      <c r="S62" s="84"/>
    </row>
    <row r="63" spans="1:19" ht="15.75" customHeight="1" x14ac:dyDescent="0.35"/>
    <row r="64" spans="1:19" ht="15.75" customHeight="1" x14ac:dyDescent="0.45">
      <c r="A64" s="1" t="s">
        <v>39</v>
      </c>
    </row>
    <row r="65" spans="1:19" ht="15" customHeight="1" thickBot="1" x14ac:dyDescent="0.4">
      <c r="A65" s="79" t="s">
        <v>31</v>
      </c>
      <c r="B65" s="80"/>
      <c r="C65" s="80"/>
      <c r="D65" s="81"/>
      <c r="E65" s="104" t="s">
        <v>36</v>
      </c>
      <c r="F65" s="34" t="s">
        <v>5</v>
      </c>
      <c r="H65" s="79" t="s">
        <v>34</v>
      </c>
      <c r="I65" s="80"/>
      <c r="J65" s="80"/>
      <c r="K65" s="80"/>
      <c r="L65" s="80"/>
      <c r="M65" s="80"/>
      <c r="N65" s="81"/>
      <c r="P65" s="100" t="s">
        <v>40</v>
      </c>
      <c r="Q65" s="80"/>
      <c r="R65" s="80"/>
      <c r="S65" s="81"/>
    </row>
    <row r="66" spans="1:19" ht="15.75" customHeight="1" thickBot="1" x14ac:dyDescent="0.4">
      <c r="A66" s="82"/>
      <c r="B66" s="83"/>
      <c r="C66" s="83"/>
      <c r="D66" s="84"/>
      <c r="E66" s="105"/>
      <c r="F66" s="22">
        <f>SUM(E67:E76)</f>
        <v>500</v>
      </c>
      <c r="H66" s="82"/>
      <c r="I66" s="83"/>
      <c r="J66" s="83"/>
      <c r="K66" s="83"/>
      <c r="L66" s="83"/>
      <c r="M66" s="83"/>
      <c r="N66" s="84"/>
      <c r="P66" s="101"/>
      <c r="Q66" s="102"/>
      <c r="R66" s="102"/>
      <c r="S66" s="103"/>
    </row>
    <row r="67" spans="1:19" ht="15.75" customHeight="1" x14ac:dyDescent="0.35">
      <c r="A67" s="85" t="s">
        <v>252</v>
      </c>
      <c r="B67" s="86"/>
      <c r="C67" s="86"/>
      <c r="D67" s="87"/>
      <c r="E67" s="76">
        <v>500</v>
      </c>
      <c r="F67" s="97"/>
      <c r="H67" s="88"/>
      <c r="I67" s="89"/>
      <c r="J67" s="89"/>
      <c r="K67" s="89"/>
      <c r="L67" s="89"/>
      <c r="M67" s="89"/>
      <c r="N67" s="90"/>
      <c r="P67" s="101"/>
      <c r="Q67" s="102"/>
      <c r="R67" s="102"/>
      <c r="S67" s="103"/>
    </row>
    <row r="68" spans="1:19" ht="15.75" customHeight="1" x14ac:dyDescent="0.35">
      <c r="A68" s="85"/>
      <c r="B68" s="86"/>
      <c r="C68" s="86"/>
      <c r="D68" s="87"/>
      <c r="E68" s="76"/>
      <c r="F68" s="98"/>
      <c r="H68" s="91"/>
      <c r="I68" s="92"/>
      <c r="J68" s="92"/>
      <c r="K68" s="92"/>
      <c r="L68" s="92"/>
      <c r="M68" s="92"/>
      <c r="N68" s="93"/>
      <c r="P68" s="101"/>
      <c r="Q68" s="102"/>
      <c r="R68" s="102"/>
      <c r="S68" s="103"/>
    </row>
    <row r="69" spans="1:19" ht="15.75" customHeight="1" x14ac:dyDescent="0.35">
      <c r="A69" s="85"/>
      <c r="B69" s="86"/>
      <c r="C69" s="86"/>
      <c r="D69" s="87"/>
      <c r="E69" s="76"/>
      <c r="F69" s="98"/>
      <c r="H69" s="91"/>
      <c r="I69" s="92"/>
      <c r="J69" s="92"/>
      <c r="K69" s="92"/>
      <c r="L69" s="92"/>
      <c r="M69" s="92"/>
      <c r="N69" s="93"/>
      <c r="P69" s="101"/>
      <c r="Q69" s="102"/>
      <c r="R69" s="102"/>
      <c r="S69" s="103"/>
    </row>
    <row r="70" spans="1:19" ht="15.75" customHeight="1" x14ac:dyDescent="0.35">
      <c r="A70" s="85"/>
      <c r="B70" s="86"/>
      <c r="C70" s="86"/>
      <c r="D70" s="87"/>
      <c r="E70" s="76"/>
      <c r="F70" s="98"/>
      <c r="H70" s="91"/>
      <c r="I70" s="92"/>
      <c r="J70" s="92"/>
      <c r="K70" s="92"/>
      <c r="L70" s="92"/>
      <c r="M70" s="92"/>
      <c r="N70" s="93"/>
      <c r="P70" s="101"/>
      <c r="Q70" s="102"/>
      <c r="R70" s="102"/>
      <c r="S70" s="103"/>
    </row>
    <row r="71" spans="1:19" ht="15.75" customHeight="1" x14ac:dyDescent="0.35">
      <c r="A71" s="85"/>
      <c r="B71" s="86"/>
      <c r="C71" s="86"/>
      <c r="D71" s="87"/>
      <c r="E71" s="76"/>
      <c r="F71" s="98"/>
      <c r="H71" s="91"/>
      <c r="I71" s="92"/>
      <c r="J71" s="92"/>
      <c r="K71" s="92"/>
      <c r="L71" s="92"/>
      <c r="M71" s="92"/>
      <c r="N71" s="93"/>
      <c r="P71" s="101"/>
      <c r="Q71" s="102"/>
      <c r="R71" s="102"/>
      <c r="S71" s="103"/>
    </row>
    <row r="72" spans="1:19" ht="15.75" customHeight="1" x14ac:dyDescent="0.35">
      <c r="A72" s="85"/>
      <c r="B72" s="86"/>
      <c r="C72" s="86"/>
      <c r="D72" s="87"/>
      <c r="E72" s="76"/>
      <c r="F72" s="98"/>
      <c r="H72" s="91"/>
      <c r="I72" s="92"/>
      <c r="J72" s="92"/>
      <c r="K72" s="92"/>
      <c r="L72" s="92"/>
      <c r="M72" s="92"/>
      <c r="N72" s="93"/>
      <c r="P72" s="101"/>
      <c r="Q72" s="102"/>
      <c r="R72" s="102"/>
      <c r="S72" s="103"/>
    </row>
    <row r="73" spans="1:19" ht="15.75" customHeight="1" x14ac:dyDescent="0.35">
      <c r="A73" s="85"/>
      <c r="B73" s="86"/>
      <c r="C73" s="86"/>
      <c r="D73" s="87"/>
      <c r="E73" s="76"/>
      <c r="F73" s="98"/>
      <c r="H73" s="91"/>
      <c r="I73" s="92"/>
      <c r="J73" s="92"/>
      <c r="K73" s="92"/>
      <c r="L73" s="92"/>
      <c r="M73" s="92"/>
      <c r="N73" s="93"/>
      <c r="P73" s="101"/>
      <c r="Q73" s="102"/>
      <c r="R73" s="102"/>
      <c r="S73" s="103"/>
    </row>
    <row r="74" spans="1:19" ht="15.75" customHeight="1" x14ac:dyDescent="0.35">
      <c r="A74" s="85"/>
      <c r="B74" s="86"/>
      <c r="C74" s="86"/>
      <c r="D74" s="87"/>
      <c r="E74" s="76"/>
      <c r="F74" s="98"/>
      <c r="H74" s="91"/>
      <c r="I74" s="92"/>
      <c r="J74" s="92"/>
      <c r="K74" s="92"/>
      <c r="L74" s="92"/>
      <c r="M74" s="92"/>
      <c r="N74" s="93"/>
      <c r="P74" s="101"/>
      <c r="Q74" s="102"/>
      <c r="R74" s="102"/>
      <c r="S74" s="103"/>
    </row>
    <row r="75" spans="1:19" ht="15.75" customHeight="1" x14ac:dyDescent="0.35">
      <c r="A75" s="85"/>
      <c r="B75" s="86"/>
      <c r="C75" s="86"/>
      <c r="D75" s="87"/>
      <c r="E75" s="76"/>
      <c r="F75" s="98"/>
      <c r="H75" s="91"/>
      <c r="I75" s="92"/>
      <c r="J75" s="92"/>
      <c r="K75" s="92"/>
      <c r="L75" s="92"/>
      <c r="M75" s="92"/>
      <c r="N75" s="93"/>
      <c r="P75" s="101"/>
      <c r="Q75" s="102"/>
      <c r="R75" s="102"/>
      <c r="S75" s="103"/>
    </row>
    <row r="76" spans="1:19" ht="15.75" customHeight="1" x14ac:dyDescent="0.35">
      <c r="A76" s="85"/>
      <c r="B76" s="86"/>
      <c r="C76" s="86"/>
      <c r="D76" s="87"/>
      <c r="E76" s="76"/>
      <c r="F76" s="99"/>
      <c r="H76" s="94"/>
      <c r="I76" s="95"/>
      <c r="J76" s="95"/>
      <c r="K76" s="95"/>
      <c r="L76" s="95"/>
      <c r="M76" s="95"/>
      <c r="N76" s="96"/>
      <c r="P76" s="82"/>
      <c r="Q76" s="83"/>
      <c r="R76" s="83"/>
      <c r="S76" s="84"/>
    </row>
    <row r="77" spans="1:19" ht="15.75" customHeight="1" x14ac:dyDescent="0.35"/>
    <row r="78" spans="1:19" ht="15.75" customHeight="1" x14ac:dyDescent="0.45">
      <c r="A78" s="1" t="s">
        <v>41</v>
      </c>
    </row>
    <row r="79" spans="1:19" ht="15.75" customHeight="1" thickBot="1" x14ac:dyDescent="0.4">
      <c r="A79" s="79" t="s">
        <v>31</v>
      </c>
      <c r="B79" s="80"/>
      <c r="C79" s="80"/>
      <c r="D79" s="81"/>
      <c r="E79" s="104" t="s">
        <v>36</v>
      </c>
      <c r="F79" s="34" t="s">
        <v>5</v>
      </c>
      <c r="H79" s="79" t="s">
        <v>34</v>
      </c>
      <c r="I79" s="80"/>
      <c r="J79" s="80"/>
      <c r="K79" s="80"/>
      <c r="L79" s="80"/>
      <c r="M79" s="80"/>
      <c r="N79" s="81"/>
    </row>
    <row r="80" spans="1:19" ht="15.75" customHeight="1" thickBot="1" x14ac:dyDescent="0.4">
      <c r="A80" s="82"/>
      <c r="B80" s="83"/>
      <c r="C80" s="83"/>
      <c r="D80" s="84"/>
      <c r="E80" s="105"/>
      <c r="F80" s="22">
        <f>SUM(E81:E91)</f>
        <v>500</v>
      </c>
      <c r="H80" s="82"/>
      <c r="I80" s="83"/>
      <c r="J80" s="83"/>
      <c r="K80" s="83"/>
      <c r="L80" s="83"/>
      <c r="M80" s="83"/>
      <c r="N80" s="84"/>
    </row>
    <row r="81" spans="1:14" ht="15.75" customHeight="1" x14ac:dyDescent="0.35">
      <c r="A81" s="85" t="s">
        <v>31</v>
      </c>
      <c r="B81" s="86"/>
      <c r="C81" s="86"/>
      <c r="D81" s="87"/>
      <c r="E81" s="76">
        <v>500</v>
      </c>
      <c r="F81" s="97"/>
      <c r="H81" s="88"/>
      <c r="I81" s="89"/>
      <c r="J81" s="89"/>
      <c r="K81" s="89"/>
      <c r="L81" s="89"/>
      <c r="M81" s="89"/>
      <c r="N81" s="90"/>
    </row>
    <row r="82" spans="1:14" ht="15.75" customHeight="1" x14ac:dyDescent="0.35">
      <c r="A82" s="85"/>
      <c r="B82" s="86"/>
      <c r="C82" s="86"/>
      <c r="D82" s="87"/>
      <c r="E82" s="76"/>
      <c r="F82" s="98"/>
      <c r="H82" s="91"/>
      <c r="I82" s="92"/>
      <c r="J82" s="92"/>
      <c r="K82" s="92"/>
      <c r="L82" s="92"/>
      <c r="M82" s="92"/>
      <c r="N82" s="93"/>
    </row>
    <row r="83" spans="1:14" ht="15.75" customHeight="1" x14ac:dyDescent="0.35">
      <c r="A83" s="85"/>
      <c r="B83" s="86"/>
      <c r="C83" s="86"/>
      <c r="D83" s="87"/>
      <c r="E83" s="76"/>
      <c r="F83" s="98"/>
      <c r="H83" s="91"/>
      <c r="I83" s="92"/>
      <c r="J83" s="92"/>
      <c r="K83" s="92"/>
      <c r="L83" s="92"/>
      <c r="M83" s="92"/>
      <c r="N83" s="93"/>
    </row>
    <row r="84" spans="1:14" ht="15.75" customHeight="1" x14ac:dyDescent="0.35">
      <c r="A84" s="85"/>
      <c r="B84" s="86"/>
      <c r="C84" s="86"/>
      <c r="D84" s="87"/>
      <c r="E84" s="76"/>
      <c r="F84" s="98"/>
      <c r="H84" s="91"/>
      <c r="I84" s="92"/>
      <c r="J84" s="92"/>
      <c r="K84" s="92"/>
      <c r="L84" s="92"/>
      <c r="M84" s="92"/>
      <c r="N84" s="93"/>
    </row>
    <row r="85" spans="1:14" ht="15.75" customHeight="1" x14ac:dyDescent="0.35">
      <c r="A85" s="85"/>
      <c r="B85" s="86"/>
      <c r="C85" s="86"/>
      <c r="D85" s="87"/>
      <c r="E85" s="76"/>
      <c r="F85" s="98"/>
      <c r="H85" s="91"/>
      <c r="I85" s="92"/>
      <c r="J85" s="92"/>
      <c r="K85" s="92"/>
      <c r="L85" s="92"/>
      <c r="M85" s="92"/>
      <c r="N85" s="93"/>
    </row>
    <row r="86" spans="1:14" ht="15.75" customHeight="1" x14ac:dyDescent="0.35">
      <c r="A86" s="85"/>
      <c r="B86" s="86"/>
      <c r="C86" s="86"/>
      <c r="D86" s="87"/>
      <c r="E86" s="76"/>
      <c r="F86" s="98"/>
      <c r="H86" s="91"/>
      <c r="I86" s="92"/>
      <c r="J86" s="92"/>
      <c r="K86" s="92"/>
      <c r="L86" s="92"/>
      <c r="M86" s="92"/>
      <c r="N86" s="93"/>
    </row>
    <row r="87" spans="1:14" ht="15.75" customHeight="1" x14ac:dyDescent="0.35">
      <c r="A87" s="85"/>
      <c r="B87" s="86"/>
      <c r="C87" s="86"/>
      <c r="D87" s="87"/>
      <c r="E87" s="76"/>
      <c r="F87" s="98"/>
      <c r="H87" s="91"/>
      <c r="I87" s="92"/>
      <c r="J87" s="92"/>
      <c r="K87" s="92"/>
      <c r="L87" s="92"/>
      <c r="M87" s="92"/>
      <c r="N87" s="93"/>
    </row>
    <row r="88" spans="1:14" ht="15.75" customHeight="1" x14ac:dyDescent="0.35">
      <c r="A88" s="85"/>
      <c r="B88" s="86"/>
      <c r="C88" s="86"/>
      <c r="D88" s="87"/>
      <c r="E88" s="76"/>
      <c r="F88" s="98"/>
      <c r="H88" s="91"/>
      <c r="I88" s="92"/>
      <c r="J88" s="92"/>
      <c r="K88" s="92"/>
      <c r="L88" s="92"/>
      <c r="M88" s="92"/>
      <c r="N88" s="93"/>
    </row>
    <row r="89" spans="1:14" ht="15.75" customHeight="1" x14ac:dyDescent="0.35">
      <c r="A89" s="85"/>
      <c r="B89" s="86"/>
      <c r="C89" s="86"/>
      <c r="D89" s="87"/>
      <c r="E89" s="76"/>
      <c r="F89" s="98"/>
      <c r="H89" s="91"/>
      <c r="I89" s="92"/>
      <c r="J89" s="92"/>
      <c r="K89" s="92"/>
      <c r="L89" s="92"/>
      <c r="M89" s="92"/>
      <c r="N89" s="93"/>
    </row>
    <row r="90" spans="1:14" ht="15.75" customHeight="1" x14ac:dyDescent="0.35">
      <c r="A90" s="85"/>
      <c r="B90" s="86"/>
      <c r="C90" s="86"/>
      <c r="D90" s="87"/>
      <c r="E90" s="76"/>
      <c r="F90" s="98"/>
      <c r="H90" s="91"/>
      <c r="I90" s="92"/>
      <c r="J90" s="92"/>
      <c r="K90" s="92"/>
      <c r="L90" s="92"/>
      <c r="M90" s="92"/>
      <c r="N90" s="93"/>
    </row>
    <row r="91" spans="1:14" ht="15.75" customHeight="1" x14ac:dyDescent="0.35">
      <c r="A91" s="85"/>
      <c r="B91" s="86"/>
      <c r="C91" s="86"/>
      <c r="D91" s="87"/>
      <c r="E91" s="76"/>
      <c r="F91" s="99"/>
      <c r="H91" s="94"/>
      <c r="I91" s="95"/>
      <c r="J91" s="95"/>
      <c r="K91" s="95"/>
      <c r="L91" s="95"/>
      <c r="M91" s="95"/>
      <c r="N91" s="96"/>
    </row>
    <row r="92" spans="1:14" ht="15.75" customHeight="1" x14ac:dyDescent="0.35"/>
    <row r="93" spans="1:14" ht="15.75" customHeight="1" x14ac:dyDescent="0.35"/>
    <row r="94" spans="1:14" ht="15.75" customHeight="1" x14ac:dyDescent="0.35"/>
    <row r="95" spans="1:14" ht="15.75" customHeight="1" x14ac:dyDescent="0.35"/>
    <row r="96" spans="1:14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aCC6ZBGJH5fj89doCK/wgWZaTYt/kRyyG8jjShQKPpR0FAxHSlJLtJvfcxbRFHX7QLRyLnZSzZH14r/NH+NQYg==" saltValue="X+KNZxg//wuYSHtkRMF6Bg==" spinCount="100000" sheet="1" objects="1" scenarios="1" selectLockedCells="1"/>
  <mergeCells count="128">
    <mergeCell ref="I3:L3"/>
    <mergeCell ref="B4:D4"/>
    <mergeCell ref="I4:J4"/>
    <mergeCell ref="K4:L4"/>
    <mergeCell ref="P4:P5"/>
    <mergeCell ref="Q4:R5"/>
    <mergeCell ref="B5:D5"/>
    <mergeCell ref="I5:J5"/>
    <mergeCell ref="K5:L5"/>
    <mergeCell ref="I10:J10"/>
    <mergeCell ref="K10:L10"/>
    <mergeCell ref="I11:J11"/>
    <mergeCell ref="K11:L11"/>
    <mergeCell ref="I12:J12"/>
    <mergeCell ref="K12:L12"/>
    <mergeCell ref="A6:A9"/>
    <mergeCell ref="B6:D9"/>
    <mergeCell ref="I6:J6"/>
    <mergeCell ref="K6:L6"/>
    <mergeCell ref="I7:J7"/>
    <mergeCell ref="K7:L7"/>
    <mergeCell ref="I8:J8"/>
    <mergeCell ref="K8:L8"/>
    <mergeCell ref="I9:J9"/>
    <mergeCell ref="K9:L9"/>
    <mergeCell ref="I14:L14"/>
    <mergeCell ref="P14:S14"/>
    <mergeCell ref="D17:E17"/>
    <mergeCell ref="G17:H17"/>
    <mergeCell ref="P17:S20"/>
    <mergeCell ref="D18:E18"/>
    <mergeCell ref="G18:H18"/>
    <mergeCell ref="D19:E19"/>
    <mergeCell ref="F19:F20"/>
    <mergeCell ref="G19:H19"/>
    <mergeCell ref="M19:M20"/>
    <mergeCell ref="D20:E20"/>
    <mergeCell ref="G20:H20"/>
    <mergeCell ref="A48:C48"/>
    <mergeCell ref="M23:M24"/>
    <mergeCell ref="P23:S27"/>
    <mergeCell ref="D25:E25"/>
    <mergeCell ref="G25:I25"/>
    <mergeCell ref="D26:E26"/>
    <mergeCell ref="G26:I26"/>
    <mergeCell ref="D27:E27"/>
    <mergeCell ref="G27:I27"/>
    <mergeCell ref="D31:E31"/>
    <mergeCell ref="G31:I31"/>
    <mergeCell ref="A23:A24"/>
    <mergeCell ref="B23:B24"/>
    <mergeCell ref="C23:C24"/>
    <mergeCell ref="D23:E24"/>
    <mergeCell ref="F23:F24"/>
    <mergeCell ref="G23:I24"/>
    <mergeCell ref="J23:J24"/>
    <mergeCell ref="K23:K24"/>
    <mergeCell ref="L23:L24"/>
    <mergeCell ref="A47:C47"/>
    <mergeCell ref="J34:L34"/>
    <mergeCell ref="A37:C38"/>
    <mergeCell ref="D37:D38"/>
    <mergeCell ref="E37:E38"/>
    <mergeCell ref="H37:N38"/>
    <mergeCell ref="D28:E28"/>
    <mergeCell ref="G28:I28"/>
    <mergeCell ref="D29:E29"/>
    <mergeCell ref="G29:I29"/>
    <mergeCell ref="D30:E30"/>
    <mergeCell ref="G30:I30"/>
    <mergeCell ref="A42:C42"/>
    <mergeCell ref="A43:C43"/>
    <mergeCell ref="A44:C44"/>
    <mergeCell ref="A45:C45"/>
    <mergeCell ref="A46:C46"/>
    <mergeCell ref="E65:E66"/>
    <mergeCell ref="H65:N66"/>
    <mergeCell ref="P65:S76"/>
    <mergeCell ref="A67:D67"/>
    <mergeCell ref="F67:F76"/>
    <mergeCell ref="H67:N76"/>
    <mergeCell ref="A68:D68"/>
    <mergeCell ref="E51:E52"/>
    <mergeCell ref="H51:N52"/>
    <mergeCell ref="P51:S62"/>
    <mergeCell ref="A53:D53"/>
    <mergeCell ref="F53:F62"/>
    <mergeCell ref="H53:N62"/>
    <mergeCell ref="A54:D54"/>
    <mergeCell ref="A59:D59"/>
    <mergeCell ref="A60:D60"/>
    <mergeCell ref="A55:D55"/>
    <mergeCell ref="A56:D56"/>
    <mergeCell ref="A57:D57"/>
    <mergeCell ref="A58:D58"/>
    <mergeCell ref="A91:D91"/>
    <mergeCell ref="A84:D84"/>
    <mergeCell ref="A85:D85"/>
    <mergeCell ref="A86:D86"/>
    <mergeCell ref="A87:D87"/>
    <mergeCell ref="A51:D52"/>
    <mergeCell ref="A61:D61"/>
    <mergeCell ref="A62:D62"/>
    <mergeCell ref="A65:D66"/>
    <mergeCell ref="A88:D88"/>
    <mergeCell ref="A89:D89"/>
    <mergeCell ref="A75:D75"/>
    <mergeCell ref="A76:D76"/>
    <mergeCell ref="A79:D80"/>
    <mergeCell ref="P37:S48"/>
    <mergeCell ref="A39:C39"/>
    <mergeCell ref="H39:N48"/>
    <mergeCell ref="A40:C40"/>
    <mergeCell ref="A41:C41"/>
    <mergeCell ref="E79:E80"/>
    <mergeCell ref="H79:N80"/>
    <mergeCell ref="A81:D81"/>
    <mergeCell ref="F81:F91"/>
    <mergeCell ref="H81:N91"/>
    <mergeCell ref="A82:D82"/>
    <mergeCell ref="A83:D83"/>
    <mergeCell ref="A69:D69"/>
    <mergeCell ref="A70:D70"/>
    <mergeCell ref="A71:D71"/>
    <mergeCell ref="A72:D72"/>
    <mergeCell ref="A73:D73"/>
    <mergeCell ref="A74:D74"/>
    <mergeCell ref="A90:D90"/>
  </mergeCells>
  <conditionalFormatting sqref="C18">
    <cfRule type="cellIs" dxfId="9" priority="1" operator="equal">
      <formula>1</formula>
    </cfRule>
  </conditionalFormatting>
  <conditionalFormatting sqref="C20">
    <cfRule type="cellIs" dxfId="8" priority="2" operator="equal">
      <formula>1</formula>
    </cfRule>
  </conditionalFormatting>
  <conditionalFormatting sqref="C25:C31">
    <cfRule type="cellIs" dxfId="7" priority="3" operator="equal">
      <formula>1</formula>
    </cfRule>
  </conditionalFormatting>
  <conditionalFormatting sqref="J26:N31">
    <cfRule type="expression" dxfId="6" priority="4">
      <formula>ISBLANK($A26)</formula>
    </cfRule>
  </conditionalFormatting>
  <conditionalFormatting sqref="K5:K12">
    <cfRule type="cellIs" dxfId="5" priority="5" operator="equal">
      <formula>0</formula>
    </cfRule>
    <cfRule type="expression" dxfId="4" priority="6">
      <formula>0</formula>
    </cfRule>
  </conditionalFormatting>
  <conditionalFormatting sqref="K18">
    <cfRule type="expression" dxfId="3" priority="7">
      <formula>ISBLANK(A18)</formula>
    </cfRule>
  </conditionalFormatting>
  <conditionalFormatting sqref="K25:K31">
    <cfRule type="cellIs" dxfId="2" priority="8" operator="equal">
      <formula>1510</formula>
    </cfRule>
  </conditionalFormatting>
  <conditionalFormatting sqref="M18">
    <cfRule type="expression" dxfId="1" priority="9">
      <formula>ISBLANK(A18)</formula>
    </cfRule>
  </conditionalFormatting>
  <conditionalFormatting sqref="M25:M31">
    <cfRule type="expression" dxfId="0" priority="10">
      <formula>ISBLANK($A25)</formula>
    </cfRule>
  </conditionalFormatting>
  <pageMargins left="0.23622047244094491" right="0.23622047244094491" top="0.74803149606299213" bottom="0.74803149606299213" header="0" footer="0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F927CD18-0C45-4473-A0C8-9E65CB686A6A}">
          <x14:formula1>
            <xm:f>Stammdaten!$E$8:$E$14</xm:f>
          </x14:formula1>
          <xm:sqref>D18</xm:sqref>
        </x14:dataValidation>
        <x14:dataValidation type="list" allowBlank="1" showErrorMessage="1" xr:uid="{4FA35415-CBB0-40B2-BD4B-DB28FDBF8D2A}">
          <x14:formula1>
            <xm:f>Stammdaten!$E$24:$E$29</xm:f>
          </x14:formula1>
          <xm:sqref>F18</xm:sqref>
        </x14:dataValidation>
        <x14:dataValidation type="list" allowBlank="1" showErrorMessage="1" xr:uid="{06F04A0D-FBB1-4538-9041-6FBBA85421FB}">
          <x14:formula1>
            <xm:f>Stammdaten!$E$40:$E$41</xm:f>
          </x14:formula1>
          <xm:sqref>D25:D31</xm:sqref>
        </x14:dataValidation>
        <x14:dataValidation type="list" allowBlank="1" showErrorMessage="1" xr:uid="{8D5DDC5F-1EAA-44CD-9B88-0C5167B9C494}">
          <x14:formula1>
            <xm:f>Stammdaten!$E$44:$E$54</xm:f>
          </x14:formula1>
          <xm:sqref>B4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000"/>
  <sheetViews>
    <sheetView topLeftCell="B35" workbookViewId="0">
      <selection activeCell="E39" sqref="E39"/>
    </sheetView>
  </sheetViews>
  <sheetFormatPr baseColWidth="10" defaultColWidth="14.453125" defaultRowHeight="15" customHeight="1" x14ac:dyDescent="0.35"/>
  <cols>
    <col min="1" max="1" width="56.453125" customWidth="1"/>
    <col min="2" max="2" width="5" customWidth="1"/>
    <col min="3" max="3" width="56.453125" customWidth="1"/>
    <col min="4" max="4" width="2.453125" customWidth="1"/>
    <col min="5" max="5" width="19.453125" customWidth="1"/>
    <col min="6" max="6" width="21.453125" customWidth="1"/>
    <col min="7" max="7" width="81.453125" customWidth="1"/>
    <col min="8" max="8" width="10.7265625" customWidth="1"/>
    <col min="9" max="9" width="13" customWidth="1"/>
    <col min="10" max="26" width="10.7265625" customWidth="1"/>
  </cols>
  <sheetData>
    <row r="1" spans="1:7" ht="14.5" x14ac:dyDescent="0.35">
      <c r="A1" s="52" t="s">
        <v>76</v>
      </c>
      <c r="C1" s="52" t="s">
        <v>77</v>
      </c>
      <c r="D1" s="52" t="s">
        <v>78</v>
      </c>
      <c r="E1" s="52" t="s">
        <v>79</v>
      </c>
      <c r="G1" s="52" t="s">
        <v>80</v>
      </c>
    </row>
    <row r="2" spans="1:7" ht="14.5" x14ac:dyDescent="0.35">
      <c r="A2" s="53" t="s">
        <v>81</v>
      </c>
      <c r="B2" s="51">
        <v>1</v>
      </c>
      <c r="C2" s="54" t="s">
        <v>82</v>
      </c>
      <c r="D2" s="51">
        <v>42801001</v>
      </c>
      <c r="E2" s="51" t="s">
        <v>83</v>
      </c>
      <c r="G2" s="51" t="s">
        <v>84</v>
      </c>
    </row>
    <row r="3" spans="1:7" ht="14.5" x14ac:dyDescent="0.35">
      <c r="A3" s="53" t="s">
        <v>85</v>
      </c>
      <c r="B3" s="51">
        <v>1</v>
      </c>
      <c r="C3" s="54" t="s">
        <v>86</v>
      </c>
      <c r="D3" s="51">
        <v>42801002</v>
      </c>
      <c r="E3" s="51" t="s">
        <v>87</v>
      </c>
      <c r="G3" s="51" t="s">
        <v>88</v>
      </c>
    </row>
    <row r="4" spans="1:7" ht="14.5" x14ac:dyDescent="0.35">
      <c r="A4" s="53" t="s">
        <v>89</v>
      </c>
      <c r="B4" s="51">
        <v>2</v>
      </c>
      <c r="C4" s="54" t="s">
        <v>90</v>
      </c>
      <c r="D4" s="51">
        <v>42801003</v>
      </c>
      <c r="E4" s="51" t="s">
        <v>91</v>
      </c>
      <c r="G4" s="51" t="s">
        <v>92</v>
      </c>
    </row>
    <row r="5" spans="1:7" ht="14.5" x14ac:dyDescent="0.35">
      <c r="A5" s="53" t="s">
        <v>93</v>
      </c>
      <c r="B5" s="51">
        <v>2</v>
      </c>
      <c r="C5" s="54">
        <v>42811</v>
      </c>
      <c r="D5" s="51">
        <v>42811001</v>
      </c>
      <c r="E5" s="51" t="s">
        <v>74</v>
      </c>
      <c r="G5" s="51" t="s">
        <v>94</v>
      </c>
    </row>
    <row r="6" spans="1:7" ht="14.5" x14ac:dyDescent="0.35">
      <c r="C6" s="54" t="s">
        <v>95</v>
      </c>
      <c r="D6" s="51">
        <v>42811002</v>
      </c>
      <c r="E6" s="51" t="s">
        <v>73</v>
      </c>
      <c r="G6" s="51" t="s">
        <v>96</v>
      </c>
    </row>
    <row r="7" spans="1:7" ht="14.5" x14ac:dyDescent="0.35">
      <c r="A7" s="52" t="s">
        <v>97</v>
      </c>
      <c r="C7" s="54" t="s">
        <v>98</v>
      </c>
      <c r="D7" s="51">
        <v>42896001</v>
      </c>
      <c r="E7" s="51" t="s">
        <v>72</v>
      </c>
    </row>
    <row r="8" spans="1:7" ht="14.5" x14ac:dyDescent="0.35">
      <c r="A8" s="53" t="s">
        <v>99</v>
      </c>
      <c r="C8" s="54" t="s">
        <v>100</v>
      </c>
      <c r="D8" s="51">
        <v>42986002</v>
      </c>
      <c r="E8" s="51" t="s">
        <v>71</v>
      </c>
    </row>
    <row r="9" spans="1:7" ht="14.5" x14ac:dyDescent="0.35">
      <c r="A9" s="53" t="s">
        <v>101</v>
      </c>
      <c r="C9" s="52" t="s">
        <v>102</v>
      </c>
      <c r="D9" s="51">
        <v>42896003</v>
      </c>
      <c r="E9" s="51" t="s">
        <v>70</v>
      </c>
      <c r="G9" s="52" t="s">
        <v>103</v>
      </c>
    </row>
    <row r="10" spans="1:7" ht="14.5" x14ac:dyDescent="0.35">
      <c r="A10" s="53" t="s">
        <v>104</v>
      </c>
      <c r="C10" s="53" t="s">
        <v>105</v>
      </c>
      <c r="E10" s="51" t="s">
        <v>69</v>
      </c>
      <c r="G10" s="51" t="s">
        <v>106</v>
      </c>
    </row>
    <row r="11" spans="1:7" ht="14.5" x14ac:dyDescent="0.35">
      <c r="A11" s="53" t="s">
        <v>107</v>
      </c>
      <c r="C11" s="53" t="s">
        <v>108</v>
      </c>
      <c r="E11" s="51" t="s">
        <v>68</v>
      </c>
      <c r="G11" s="51" t="s">
        <v>109</v>
      </c>
    </row>
    <row r="12" spans="1:7" ht="14.5" x14ac:dyDescent="0.35">
      <c r="A12" s="53" t="s">
        <v>110</v>
      </c>
      <c r="C12" s="53" t="s">
        <v>111</v>
      </c>
      <c r="E12" s="51" t="s">
        <v>67</v>
      </c>
      <c r="G12" s="51" t="s">
        <v>112</v>
      </c>
    </row>
    <row r="13" spans="1:7" ht="14.5" x14ac:dyDescent="0.35">
      <c r="A13" s="53" t="s">
        <v>113</v>
      </c>
      <c r="C13" s="53" t="s">
        <v>114</v>
      </c>
      <c r="E13" s="51" t="s">
        <v>66</v>
      </c>
      <c r="G13" s="51" t="s">
        <v>115</v>
      </c>
    </row>
    <row r="14" spans="1:7" ht="14.5" x14ac:dyDescent="0.35">
      <c r="A14" s="53" t="s">
        <v>116</v>
      </c>
      <c r="C14" s="53" t="s">
        <v>117</v>
      </c>
      <c r="E14" s="51" t="s">
        <v>65</v>
      </c>
    </row>
    <row r="15" spans="1:7" ht="14.5" x14ac:dyDescent="0.35">
      <c r="A15" s="53" t="s">
        <v>118</v>
      </c>
      <c r="C15" s="53" t="s">
        <v>119</v>
      </c>
      <c r="E15" s="51" t="s">
        <v>64</v>
      </c>
    </row>
    <row r="16" spans="1:7" ht="14.5" x14ac:dyDescent="0.35">
      <c r="A16" s="53" t="s">
        <v>120</v>
      </c>
      <c r="C16" s="53" t="s">
        <v>121</v>
      </c>
      <c r="E16" s="51" t="s">
        <v>122</v>
      </c>
    </row>
    <row r="17" spans="1:5" ht="14.5" x14ac:dyDescent="0.35">
      <c r="A17" s="53" t="s">
        <v>123</v>
      </c>
      <c r="C17" s="53" t="s">
        <v>124</v>
      </c>
      <c r="E17" s="51" t="s">
        <v>125</v>
      </c>
    </row>
    <row r="18" spans="1:5" ht="14.5" x14ac:dyDescent="0.35">
      <c r="A18" s="53" t="s">
        <v>126</v>
      </c>
      <c r="C18" s="53" t="s">
        <v>127</v>
      </c>
      <c r="E18" s="51" t="s">
        <v>128</v>
      </c>
    </row>
    <row r="19" spans="1:5" ht="14.5" x14ac:dyDescent="0.35">
      <c r="A19" s="53" t="s">
        <v>129</v>
      </c>
      <c r="C19" s="53" t="s">
        <v>130</v>
      </c>
      <c r="E19" s="51" t="s">
        <v>131</v>
      </c>
    </row>
    <row r="20" spans="1:5" ht="14.5" x14ac:dyDescent="0.35">
      <c r="A20" s="51" t="s">
        <v>132</v>
      </c>
      <c r="C20" s="53" t="s">
        <v>133</v>
      </c>
    </row>
    <row r="21" spans="1:5" ht="15.75" customHeight="1" x14ac:dyDescent="0.35">
      <c r="A21" s="55" t="s">
        <v>134</v>
      </c>
      <c r="C21" s="53" t="s">
        <v>135</v>
      </c>
    </row>
    <row r="22" spans="1:5" ht="15.75" customHeight="1" x14ac:dyDescent="0.35">
      <c r="A22" s="55" t="s">
        <v>136</v>
      </c>
      <c r="C22" s="56" t="s">
        <v>137</v>
      </c>
    </row>
    <row r="23" spans="1:5" ht="15.75" customHeight="1" x14ac:dyDescent="0.35">
      <c r="E23" s="52" t="s">
        <v>138</v>
      </c>
    </row>
    <row r="24" spans="1:5" ht="15.75" customHeight="1" x14ac:dyDescent="0.35">
      <c r="A24" s="52" t="s">
        <v>139</v>
      </c>
      <c r="C24" s="52" t="s">
        <v>140</v>
      </c>
      <c r="E24" s="57">
        <v>1</v>
      </c>
    </row>
    <row r="25" spans="1:5" ht="15.75" customHeight="1" x14ac:dyDescent="0.35">
      <c r="A25" s="58" t="s">
        <v>141</v>
      </c>
      <c r="C25" s="53" t="s">
        <v>142</v>
      </c>
      <c r="E25" s="57">
        <v>2</v>
      </c>
    </row>
    <row r="26" spans="1:5" ht="15.75" customHeight="1" x14ac:dyDescent="0.35">
      <c r="A26" s="58" t="s">
        <v>143</v>
      </c>
      <c r="C26" s="53" t="s">
        <v>144</v>
      </c>
      <c r="E26" s="57">
        <v>3</v>
      </c>
    </row>
    <row r="27" spans="1:5" ht="15.75" customHeight="1" x14ac:dyDescent="0.35">
      <c r="A27" s="58" t="s">
        <v>145</v>
      </c>
      <c r="C27" s="53" t="s">
        <v>146</v>
      </c>
      <c r="E27" s="57">
        <v>4</v>
      </c>
    </row>
    <row r="28" spans="1:5" ht="15.75" customHeight="1" x14ac:dyDescent="0.35">
      <c r="A28" s="58" t="s">
        <v>147</v>
      </c>
      <c r="C28" s="53" t="s">
        <v>148</v>
      </c>
      <c r="E28" s="57">
        <v>5</v>
      </c>
    </row>
    <row r="29" spans="1:5" ht="15.75" customHeight="1" x14ac:dyDescent="0.35">
      <c r="A29" s="58" t="s">
        <v>149</v>
      </c>
      <c r="C29" s="53" t="s">
        <v>150</v>
      </c>
      <c r="E29" s="57">
        <v>6</v>
      </c>
    </row>
    <row r="30" spans="1:5" ht="15.75" customHeight="1" x14ac:dyDescent="0.35">
      <c r="A30" s="58" t="s">
        <v>151</v>
      </c>
      <c r="C30" s="53" t="s">
        <v>152</v>
      </c>
    </row>
    <row r="31" spans="1:5" ht="15.75" customHeight="1" x14ac:dyDescent="0.35">
      <c r="A31" s="58" t="s">
        <v>153</v>
      </c>
      <c r="C31" s="53" t="s">
        <v>99</v>
      </c>
      <c r="E31" s="52" t="s">
        <v>154</v>
      </c>
    </row>
    <row r="32" spans="1:5" ht="15.75" customHeight="1" x14ac:dyDescent="0.35">
      <c r="A32" s="58" t="s">
        <v>155</v>
      </c>
      <c r="C32" s="53" t="s">
        <v>156</v>
      </c>
      <c r="E32" s="57" t="s">
        <v>157</v>
      </c>
    </row>
    <row r="33" spans="1:9" ht="15.75" customHeight="1" x14ac:dyDescent="0.35">
      <c r="A33" s="58" t="s">
        <v>158</v>
      </c>
      <c r="C33" s="53" t="s">
        <v>101</v>
      </c>
      <c r="E33" s="57" t="s">
        <v>159</v>
      </c>
    </row>
    <row r="34" spans="1:9" ht="15.75" customHeight="1" x14ac:dyDescent="0.35">
      <c r="A34" s="58" t="s">
        <v>160</v>
      </c>
      <c r="C34" s="53" t="s">
        <v>156</v>
      </c>
    </row>
    <row r="35" spans="1:9" ht="15.75" customHeight="1" x14ac:dyDescent="0.35">
      <c r="A35" s="58" t="s">
        <v>161</v>
      </c>
      <c r="C35" s="53" t="s">
        <v>104</v>
      </c>
      <c r="E35" s="52" t="s">
        <v>162</v>
      </c>
    </row>
    <row r="36" spans="1:9" ht="15.75" customHeight="1" x14ac:dyDescent="0.35">
      <c r="A36" s="58" t="s">
        <v>163</v>
      </c>
      <c r="C36" s="53" t="s">
        <v>107</v>
      </c>
      <c r="E36" s="51" t="s">
        <v>164</v>
      </c>
    </row>
    <row r="37" spans="1:9" ht="15.75" customHeight="1" x14ac:dyDescent="0.35">
      <c r="A37" s="58" t="s">
        <v>165</v>
      </c>
      <c r="C37" s="53" t="s">
        <v>110</v>
      </c>
      <c r="E37" s="51" t="s">
        <v>166</v>
      </c>
    </row>
    <row r="38" spans="1:9" ht="15.75" customHeight="1" x14ac:dyDescent="0.35">
      <c r="A38" s="58" t="s">
        <v>167</v>
      </c>
      <c r="C38" s="53" t="s">
        <v>113</v>
      </c>
    </row>
    <row r="39" spans="1:9" ht="15.75" customHeight="1" x14ac:dyDescent="0.35">
      <c r="A39" s="58" t="s">
        <v>168</v>
      </c>
      <c r="C39" s="53" t="s">
        <v>156</v>
      </c>
      <c r="E39" s="52" t="s">
        <v>169</v>
      </c>
    </row>
    <row r="40" spans="1:9" ht="15.75" customHeight="1" x14ac:dyDescent="0.35">
      <c r="A40" s="58" t="s">
        <v>170</v>
      </c>
      <c r="C40" s="53" t="s">
        <v>116</v>
      </c>
      <c r="E40" s="51" t="s">
        <v>171</v>
      </c>
    </row>
    <row r="41" spans="1:9" ht="15.75" customHeight="1" x14ac:dyDescent="0.35">
      <c r="A41" s="58" t="s">
        <v>172</v>
      </c>
      <c r="C41" s="53" t="s">
        <v>173</v>
      </c>
      <c r="E41" s="51" t="s">
        <v>75</v>
      </c>
    </row>
    <row r="42" spans="1:9" ht="15.75" customHeight="1" x14ac:dyDescent="0.35">
      <c r="A42" s="58" t="s">
        <v>174</v>
      </c>
      <c r="C42" s="53" t="s">
        <v>175</v>
      </c>
    </row>
    <row r="43" spans="1:9" ht="15.75" customHeight="1" x14ac:dyDescent="0.35">
      <c r="A43" s="58" t="s">
        <v>176</v>
      </c>
      <c r="C43" s="53" t="s">
        <v>177</v>
      </c>
      <c r="E43" s="52" t="s">
        <v>178</v>
      </c>
      <c r="F43" s="52" t="s">
        <v>179</v>
      </c>
      <c r="G43" s="52" t="s">
        <v>180</v>
      </c>
    </row>
    <row r="44" spans="1:9" ht="15.75" customHeight="1" x14ac:dyDescent="0.35">
      <c r="A44" s="58" t="s">
        <v>181</v>
      </c>
      <c r="C44" s="53" t="s">
        <v>182</v>
      </c>
      <c r="E44" s="59" t="s">
        <v>214</v>
      </c>
      <c r="F44" s="59" t="s">
        <v>215</v>
      </c>
      <c r="G44" s="59" t="s">
        <v>256</v>
      </c>
      <c r="H44" s="59" t="s">
        <v>236</v>
      </c>
      <c r="I44" s="59" t="s">
        <v>237</v>
      </c>
    </row>
    <row r="45" spans="1:9" ht="15.75" customHeight="1" x14ac:dyDescent="0.35">
      <c r="A45" s="58" t="s">
        <v>183</v>
      </c>
      <c r="C45" s="53" t="s">
        <v>118</v>
      </c>
      <c r="E45" s="59" t="s">
        <v>216</v>
      </c>
      <c r="F45" s="59" t="s">
        <v>217</v>
      </c>
      <c r="G45" s="59" t="s">
        <v>257</v>
      </c>
      <c r="H45" s="59" t="s">
        <v>238</v>
      </c>
      <c r="I45" s="59" t="s">
        <v>239</v>
      </c>
    </row>
    <row r="46" spans="1:9" ht="15.75" customHeight="1" x14ac:dyDescent="0.35">
      <c r="A46" s="58" t="s">
        <v>184</v>
      </c>
      <c r="C46" s="53" t="s">
        <v>120</v>
      </c>
      <c r="E46" s="59" t="s">
        <v>219</v>
      </c>
      <c r="F46" s="59" t="s">
        <v>220</v>
      </c>
      <c r="G46" s="59" t="s">
        <v>258</v>
      </c>
      <c r="H46" s="59" t="s">
        <v>218</v>
      </c>
      <c r="I46" s="59" t="s">
        <v>240</v>
      </c>
    </row>
    <row r="47" spans="1:9" ht="15.75" customHeight="1" x14ac:dyDescent="0.35">
      <c r="A47" s="58" t="s">
        <v>185</v>
      </c>
      <c r="C47" s="53" t="s">
        <v>123</v>
      </c>
      <c r="E47" s="59" t="s">
        <v>221</v>
      </c>
      <c r="F47" s="59" t="s">
        <v>222</v>
      </c>
      <c r="G47" s="59" t="s">
        <v>259</v>
      </c>
      <c r="H47" s="59" t="s">
        <v>241</v>
      </c>
      <c r="I47" s="59" t="s">
        <v>242</v>
      </c>
    </row>
    <row r="48" spans="1:9" ht="15.75" customHeight="1" x14ac:dyDescent="0.35">
      <c r="A48" s="58" t="s">
        <v>186</v>
      </c>
      <c r="C48" s="53" t="s">
        <v>126</v>
      </c>
      <c r="E48" s="59" t="s">
        <v>225</v>
      </c>
      <c r="F48" s="59" t="s">
        <v>224</v>
      </c>
      <c r="G48" s="59" t="s">
        <v>260</v>
      </c>
      <c r="H48" s="59" t="s">
        <v>223</v>
      </c>
      <c r="I48" s="59" t="s">
        <v>243</v>
      </c>
    </row>
    <row r="49" spans="1:9" ht="15.75" customHeight="1" x14ac:dyDescent="0.35">
      <c r="A49" s="58" t="s">
        <v>187</v>
      </c>
      <c r="C49" s="53" t="s">
        <v>129</v>
      </c>
      <c r="E49" s="59" t="s">
        <v>226</v>
      </c>
      <c r="F49" s="59" t="s">
        <v>227</v>
      </c>
      <c r="G49" s="59" t="s">
        <v>261</v>
      </c>
      <c r="H49" s="59" t="s">
        <v>244</v>
      </c>
      <c r="I49" s="59" t="s">
        <v>239</v>
      </c>
    </row>
    <row r="50" spans="1:9" ht="15.75" customHeight="1" x14ac:dyDescent="0.35">
      <c r="A50" s="58" t="s">
        <v>188</v>
      </c>
      <c r="C50" s="53" t="s">
        <v>156</v>
      </c>
      <c r="E50" s="59" t="s">
        <v>228</v>
      </c>
      <c r="F50" s="59" t="s">
        <v>229</v>
      </c>
      <c r="G50" s="59" t="s">
        <v>262</v>
      </c>
      <c r="H50" s="59" t="s">
        <v>245</v>
      </c>
      <c r="I50" s="59" t="s">
        <v>246</v>
      </c>
    </row>
    <row r="51" spans="1:9" ht="15.75" customHeight="1" x14ac:dyDescent="0.35">
      <c r="A51" s="58" t="s">
        <v>189</v>
      </c>
      <c r="C51" s="53" t="s">
        <v>190</v>
      </c>
      <c r="E51" s="59" t="s">
        <v>230</v>
      </c>
      <c r="F51" s="59" t="s">
        <v>231</v>
      </c>
      <c r="G51" s="59" t="s">
        <v>263</v>
      </c>
      <c r="H51" s="59" t="s">
        <v>247</v>
      </c>
      <c r="I51" s="59" t="s">
        <v>248</v>
      </c>
    </row>
    <row r="52" spans="1:9" ht="15.75" customHeight="1" x14ac:dyDescent="0.35">
      <c r="A52" s="58" t="s">
        <v>191</v>
      </c>
      <c r="C52" s="53" t="s">
        <v>192</v>
      </c>
      <c r="E52" s="59" t="s">
        <v>232</v>
      </c>
      <c r="F52" s="59" t="s">
        <v>233</v>
      </c>
      <c r="G52" s="59" t="s">
        <v>264</v>
      </c>
      <c r="H52" s="59" t="s">
        <v>249</v>
      </c>
      <c r="I52" s="59" t="s">
        <v>253</v>
      </c>
    </row>
    <row r="53" spans="1:9" ht="15.75" customHeight="1" x14ac:dyDescent="0.35">
      <c r="A53" s="58" t="s">
        <v>193</v>
      </c>
      <c r="C53" s="53" t="s">
        <v>194</v>
      </c>
      <c r="E53" s="59" t="s">
        <v>235</v>
      </c>
      <c r="F53" s="59" t="s">
        <v>234</v>
      </c>
      <c r="G53" s="59" t="s">
        <v>265</v>
      </c>
      <c r="H53" s="59" t="s">
        <v>250</v>
      </c>
      <c r="I53" s="59" t="s">
        <v>251</v>
      </c>
    </row>
    <row r="54" spans="1:9" ht="15.75" customHeight="1" x14ac:dyDescent="0.35">
      <c r="A54" s="58" t="s">
        <v>195</v>
      </c>
      <c r="C54" s="53" t="s">
        <v>196</v>
      </c>
      <c r="E54" s="59"/>
      <c r="F54" s="59"/>
      <c r="G54" s="59"/>
      <c r="H54" s="59"/>
      <c r="I54" s="59"/>
    </row>
    <row r="55" spans="1:9" ht="15.75" customHeight="1" x14ac:dyDescent="0.35">
      <c r="A55" s="52" t="s">
        <v>76</v>
      </c>
      <c r="C55" s="52" t="s">
        <v>77</v>
      </c>
      <c r="D55" s="52" t="s">
        <v>78</v>
      </c>
      <c r="E55" s="52" t="s">
        <v>79</v>
      </c>
      <c r="G55" s="52" t="s">
        <v>80</v>
      </c>
    </row>
    <row r="56" spans="1:9" ht="15.75" customHeight="1" x14ac:dyDescent="0.35">
      <c r="A56" s="60"/>
      <c r="C56" s="56"/>
    </row>
    <row r="57" spans="1:9" ht="15.75" customHeight="1" x14ac:dyDescent="0.35"/>
    <row r="58" spans="1:9" ht="15.75" customHeight="1" x14ac:dyDescent="0.35"/>
    <row r="59" spans="1:9" ht="15.75" customHeight="1" x14ac:dyDescent="0.35"/>
    <row r="60" spans="1:9" ht="15.75" customHeight="1" x14ac:dyDescent="0.35">
      <c r="G60" s="78"/>
    </row>
    <row r="61" spans="1:9" ht="15.75" customHeight="1" x14ac:dyDescent="0.35"/>
    <row r="62" spans="1:9" ht="15.75" customHeight="1" x14ac:dyDescent="0.35"/>
    <row r="63" spans="1:9" ht="15.75" customHeight="1" x14ac:dyDescent="0.35"/>
    <row r="64" spans="1:9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XO2Q8fZiEjFnFuC0e0svJJIdQTfbix5moFIS5kg3NmhvVUXUNpaCDMd27iKM+ilGjCbUssvbrftCcJPUTrrDkg==" saltValue="0Q5rqxtncImqtrrNGuWvHQ==" spinCount="100000" sheet="1" objects="1" scenarios="1"/>
  <phoneticPr fontId="16" type="noConversion"/>
  <pageMargins left="0.7" right="0.7" top="0.78740157499999996" bottom="0.78740157499999996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000"/>
  <sheetViews>
    <sheetView workbookViewId="0">
      <selection activeCell="F14" sqref="F14"/>
    </sheetView>
  </sheetViews>
  <sheetFormatPr baseColWidth="10" defaultColWidth="14.453125" defaultRowHeight="15" customHeight="1" x14ac:dyDescent="0.35"/>
  <cols>
    <col min="1" max="26" width="10.7265625" customWidth="1"/>
  </cols>
  <sheetData>
    <row r="1" spans="1:13" ht="45" customHeight="1" x14ac:dyDescent="0.35">
      <c r="A1" s="157" t="s">
        <v>205</v>
      </c>
      <c r="B1" s="114"/>
      <c r="C1" s="114"/>
      <c r="D1" s="114"/>
      <c r="E1" s="114"/>
      <c r="F1" s="114"/>
      <c r="G1" s="115"/>
      <c r="H1" s="38" t="s">
        <v>43</v>
      </c>
      <c r="I1" s="39"/>
      <c r="J1" s="39"/>
      <c r="K1" s="39"/>
      <c r="L1" s="40"/>
    </row>
    <row r="2" spans="1:13" ht="14.5" x14ac:dyDescent="0.35">
      <c r="A2" s="41" t="s">
        <v>44</v>
      </c>
      <c r="B2" s="42">
        <v>1</v>
      </c>
      <c r="C2" s="42">
        <v>2</v>
      </c>
      <c r="D2" s="42">
        <v>3</v>
      </c>
      <c r="E2" s="42">
        <v>4</v>
      </c>
      <c r="F2" s="42">
        <v>5</v>
      </c>
      <c r="G2" s="42">
        <v>6</v>
      </c>
      <c r="I2" s="38"/>
      <c r="J2" s="39"/>
      <c r="K2" s="39"/>
      <c r="L2" s="39"/>
      <c r="M2" s="39"/>
    </row>
    <row r="3" spans="1:13" ht="14.5" x14ac:dyDescent="0.35">
      <c r="A3" s="43" t="s">
        <v>64</v>
      </c>
      <c r="B3" s="61">
        <f>(6857.14+(6857.14*32.53%/12))*1.3</f>
        <v>9155.9333278833346</v>
      </c>
      <c r="C3" s="61">
        <f>(7587.33+(7587.33*32.53%/12))*1.3</f>
        <v>10130.912831975</v>
      </c>
      <c r="D3" s="61">
        <f>(8280.33+(8280.33*32.53%/12))*1.3</f>
        <v>11056.234729475</v>
      </c>
      <c r="E3" s="61">
        <f>(8734.83+(8734.83*32.53%/12))*1.3</f>
        <v>11663.101688225001</v>
      </c>
      <c r="F3" s="61">
        <f>(8846.64+(8846.64*32.53%/12))*1.3</f>
        <v>11812.3949658</v>
      </c>
      <c r="G3" s="62">
        <v>0</v>
      </c>
      <c r="H3" s="49">
        <v>0.32529999999999998</v>
      </c>
      <c r="I3" s="41"/>
      <c r="J3" s="41">
        <v>2018</v>
      </c>
      <c r="K3" s="41">
        <v>2019</v>
      </c>
      <c r="L3" s="41">
        <v>2020</v>
      </c>
      <c r="M3" s="38">
        <v>2022</v>
      </c>
    </row>
    <row r="4" spans="1:13" ht="29" x14ac:dyDescent="0.35">
      <c r="A4" s="43" t="s">
        <v>65</v>
      </c>
      <c r="B4" s="61">
        <f>(5658.38+(5658.38*32.53%/12))*1.3</f>
        <v>7555.3000265166665</v>
      </c>
      <c r="C4" s="61">
        <f>(6067.3+(6067.3*32.53%/12))*1.3</f>
        <v>8101.3067080833334</v>
      </c>
      <c r="D4" s="61">
        <f>(6283.38+(6283.38*32.53%/12))*1.3</f>
        <v>8389.8255473500012</v>
      </c>
      <c r="E4" s="61">
        <f>(7050.89+(7050.89*32.53%/12))*1.3</f>
        <v>9414.6362393416675</v>
      </c>
      <c r="F4" s="61">
        <f>(7632.07+(7632.07*32.53%/12))*1.3</f>
        <v>10190.651506858334</v>
      </c>
      <c r="G4" s="61">
        <f>(7854.52+(7854.52*32.53%/12))*1.3</f>
        <v>10487.675830233335</v>
      </c>
      <c r="H4" s="49">
        <v>0.32529999999999998</v>
      </c>
      <c r="I4" s="41" t="s">
        <v>47</v>
      </c>
      <c r="J4" s="47">
        <v>0.35</v>
      </c>
      <c r="K4" s="46">
        <v>0.33979999999999999</v>
      </c>
      <c r="L4" s="46">
        <v>0.32950000000000002</v>
      </c>
      <c r="M4" s="63">
        <v>0.32529999999999998</v>
      </c>
    </row>
    <row r="5" spans="1:13" ht="29" x14ac:dyDescent="0.35">
      <c r="A5" s="43" t="s">
        <v>66</v>
      </c>
      <c r="B5" s="61">
        <f>(5143.59+(5143.59*32.53%/12))*1.3</f>
        <v>6867.9313979250001</v>
      </c>
      <c r="C5" s="61">
        <f>(5515.9+(5515.9*32.53%/12))*1.3</f>
        <v>7365.0549125833331</v>
      </c>
      <c r="D5" s="61">
        <f>(5821.41+(5821.41*32.53%/12))*1.3</f>
        <v>7772.9843395750004</v>
      </c>
      <c r="E5" s="61">
        <f>(6283.38+(6283.38*32.53%/12))*1.3</f>
        <v>8389.8255473500012</v>
      </c>
      <c r="F5" s="61">
        <f>(6991.23+(6991.23*32.53%/12))*1.3</f>
        <v>9334.9757712249993</v>
      </c>
      <c r="G5" s="61">
        <f>(7194.48+(7194.48*32.53%/12))*1.3</f>
        <v>9606.3634706000012</v>
      </c>
      <c r="H5" s="49">
        <v>0.32529999999999998</v>
      </c>
      <c r="I5" s="41" t="s">
        <v>49</v>
      </c>
      <c r="J5" s="47">
        <v>0.5</v>
      </c>
      <c r="K5" s="46">
        <v>0.4854</v>
      </c>
      <c r="L5" s="46">
        <v>0.47070000000000001</v>
      </c>
      <c r="M5" s="63">
        <v>0.4647</v>
      </c>
    </row>
    <row r="6" spans="1:13" ht="29" x14ac:dyDescent="0.35">
      <c r="A6" s="43" t="s">
        <v>67</v>
      </c>
      <c r="B6" s="62"/>
      <c r="C6" s="61">
        <f>(5106.09+(5106.09*32.53%/12))*1.3</f>
        <v>6817.8598666750004</v>
      </c>
      <c r="D6" s="61">
        <f>(5366.89+(5366.89*32.53%/12))*1.3</f>
        <v>7166.0906760083344</v>
      </c>
      <c r="E6" s="61"/>
      <c r="F6" s="61">
        <f>(6991.23+(6991.23*32.53%/12))*1.3</f>
        <v>9334.9757712249993</v>
      </c>
      <c r="G6" s="61">
        <f>(7194.48+(7194.48*32.53%/12))*1.3</f>
        <v>9606.3634706000012</v>
      </c>
      <c r="H6" s="49">
        <v>0.32529999999999998</v>
      </c>
      <c r="I6" s="41" t="s">
        <v>51</v>
      </c>
      <c r="J6" s="47">
        <v>0.8</v>
      </c>
      <c r="K6" s="46">
        <v>0.77659999999999996</v>
      </c>
      <c r="L6" s="46">
        <v>0.75309999999999999</v>
      </c>
      <c r="M6" s="63">
        <v>0.74350000000000005</v>
      </c>
    </row>
    <row r="7" spans="1:13" ht="14.5" x14ac:dyDescent="0.35">
      <c r="A7" s="43" t="s">
        <v>68</v>
      </c>
      <c r="B7" s="61">
        <f>(4759.37+(4759.37*46.47%/12))*1.3</f>
        <v>6426.7795842249998</v>
      </c>
      <c r="C7" s="61">
        <f>(5106.09+(5106.09*46.47%/12))*1.3</f>
        <v>6894.9703358250008</v>
      </c>
      <c r="D7" s="61">
        <f>(5366.89+(5366.89*46.47%/12))*1.3</f>
        <v>7247.1396598250003</v>
      </c>
      <c r="E7" s="61">
        <f>(5873.56+(5873.56*46.47%/12))*1.3</f>
        <v>7931.3176943000008</v>
      </c>
      <c r="F7" s="61">
        <f>(6573.97+(6573.97*46.47%/12))*1.3</f>
        <v>8877.1110847250002</v>
      </c>
      <c r="G7" s="61">
        <f>(6764.69+(6764.69*46.47%/12))*1.3</f>
        <v>9134.6484063250009</v>
      </c>
      <c r="H7" s="49">
        <v>0.4647</v>
      </c>
      <c r="I7" s="41" t="s">
        <v>53</v>
      </c>
      <c r="J7" s="158">
        <v>0.95</v>
      </c>
      <c r="K7" s="46">
        <v>0.92190000000000005</v>
      </c>
      <c r="L7" s="46">
        <v>0.89400000000000002</v>
      </c>
      <c r="M7" s="63">
        <v>0.88139999999999996</v>
      </c>
    </row>
    <row r="8" spans="1:13" ht="14.5" x14ac:dyDescent="0.35">
      <c r="A8" s="43" t="s">
        <v>69</v>
      </c>
      <c r="B8" s="61">
        <f>(4310.9+(4310.9*46.47%/12))*1.3</f>
        <v>5821.1914832499997</v>
      </c>
      <c r="C8" s="61">
        <f>(4599.41+(4599.41*46.47%/12))*1.3</f>
        <v>6210.7787979249997</v>
      </c>
      <c r="D8" s="61">
        <f>(5210.41+(5210.41*46.47%/12))*1.3</f>
        <v>7035.8380654249995</v>
      </c>
      <c r="E8" s="61">
        <f>(5746.9+(5746.9*46.47%/12))*1.3</f>
        <v>7760.28331325</v>
      </c>
      <c r="F8" s="61">
        <f>(6439.85+(6439.85*46.47%/12))*1.3</f>
        <v>8696.0031486250009</v>
      </c>
      <c r="G8" s="61">
        <f>(6626.54+(6626.54*46.47%/12))*1.3</f>
        <v>8948.0985899499992</v>
      </c>
      <c r="H8" s="49">
        <v>0.4647</v>
      </c>
      <c r="I8" s="41" t="s">
        <v>55</v>
      </c>
      <c r="J8" s="99"/>
      <c r="K8" s="46">
        <v>0.91690000000000005</v>
      </c>
      <c r="L8" s="46">
        <v>0.8891</v>
      </c>
      <c r="M8" s="63">
        <v>0.87429999999999997</v>
      </c>
    </row>
    <row r="9" spans="1:13" ht="14.5" x14ac:dyDescent="0.35">
      <c r="A9" s="43" t="s">
        <v>70</v>
      </c>
      <c r="B9" s="61">
        <f>(4178.35+(4178.35*74.35%/12))*1.3</f>
        <v>5768.4036827083337</v>
      </c>
      <c r="C9" s="61">
        <f>(4444.86+(4444.86*74.35%/12))*1.3</f>
        <v>6136.3329527499991</v>
      </c>
      <c r="D9" s="61">
        <f>(4748.43+(4748.43*74.35%/12))*1.3</f>
        <v>6555.4252513750007</v>
      </c>
      <c r="E9" s="61">
        <f>(5210.41+(5210.41*74.35%/12))*1.3</f>
        <v>7193.2098154583337</v>
      </c>
      <c r="F9" s="61">
        <f>(5881.02+(5881.02*74.35%/12))*1.3</f>
        <v>8119.0176567500012</v>
      </c>
      <c r="G9" s="61">
        <f>(6050.95+(6050.95*74.35%/12))*1.3</f>
        <v>8353.6138102083332</v>
      </c>
      <c r="H9" s="49">
        <v>0.74350000000000005</v>
      </c>
    </row>
    <row r="10" spans="1:13" ht="14.5" x14ac:dyDescent="0.35">
      <c r="A10" s="43" t="s">
        <v>71</v>
      </c>
      <c r="B10" s="61">
        <f>(4038.42+(4038.42*74.35%/12))*1.3</f>
        <v>5575.2239042500005</v>
      </c>
      <c r="C10" s="61">
        <f>(4299.95+(4299.95*74.35%/12))*1.3</f>
        <v>5936.2780560416668</v>
      </c>
      <c r="D10" s="61">
        <f>(4599.41+(4599.41*74.35%/12))*1.3</f>
        <v>6349.6963112916665</v>
      </c>
      <c r="E10" s="61">
        <f>(4904.89+(4904.89*74.35%/12))*1.3</f>
        <v>6771.425452458333</v>
      </c>
      <c r="F10" s="61">
        <f>(5486.13+(5486.13*74.35%/12))*1.3</f>
        <v>7573.8539126250007</v>
      </c>
      <c r="G10" s="61">
        <f>(5644.2+(5644.2*74.35%/12))*1.3</f>
        <v>7792.0767925</v>
      </c>
      <c r="H10" s="49">
        <v>0.74350000000000005</v>
      </c>
    </row>
    <row r="11" spans="1:13" ht="14.5" x14ac:dyDescent="0.35">
      <c r="A11" s="43" t="s">
        <v>72</v>
      </c>
      <c r="B11" s="61">
        <f>(3620.1+(3620.1*74.35%/12))*1.3</f>
        <v>4997.7139712500002</v>
      </c>
      <c r="C11" s="61">
        <f>(3870.81+(3870.81*74.35%/12))*1.3</f>
        <v>5343.8306171249997</v>
      </c>
      <c r="D11" s="61">
        <f>(4035.07+(4035.07*74.35%/12))*1.3</f>
        <v>5570.5990757083337</v>
      </c>
      <c r="E11" s="61">
        <f>(4488.99+(4488.99*74.35%/12))*1.3</f>
        <v>6197.2564403750002</v>
      </c>
      <c r="F11" s="61">
        <f>(4875.1+(4875.1*74.35%/12))*1.3</f>
        <v>6730.2989920833343</v>
      </c>
      <c r="G11" s="61">
        <f>(5014.87+(5014.87*74.35%/12))*1.3</f>
        <v>6923.2578832083336</v>
      </c>
      <c r="H11" s="49">
        <v>0.74350000000000005</v>
      </c>
    </row>
    <row r="12" spans="1:13" ht="14.5" x14ac:dyDescent="0.35">
      <c r="A12" s="43" t="s">
        <v>73</v>
      </c>
      <c r="B12" s="61">
        <f>(3620.1+(3620.1*74.35%/12))*1.3</f>
        <v>4997.7139712500002</v>
      </c>
      <c r="C12" s="61">
        <f>(3870.81+(3870.81*74.35%/12))*1.3</f>
        <v>5343.8306171249997</v>
      </c>
      <c r="D12" s="61">
        <f>(3925.58+(3925.58*74.35%/12))*1.3</f>
        <v>5419.4431124166676</v>
      </c>
      <c r="E12" s="61">
        <f>(4035.07+(4035.07*74.35%/12))*1.3</f>
        <v>5570.5990757083337</v>
      </c>
      <c r="F12" s="61">
        <f>(4488.99+(4488.99*74.35%/12))*1.3</f>
        <v>6197.2564403750002</v>
      </c>
      <c r="G12" s="61">
        <f>(4615.76+(4615.76*74.35%/12))*1.3</f>
        <v>6372.2682356666674</v>
      </c>
      <c r="H12" s="49">
        <v>0.74350000000000005</v>
      </c>
    </row>
    <row r="13" spans="1:13" ht="14.5" x14ac:dyDescent="0.35">
      <c r="A13" s="43" t="s">
        <v>60</v>
      </c>
      <c r="B13" s="61">
        <f>(3419.52+(3419.52*88.14%/12))*1.3</f>
        <v>4771.8888672000003</v>
      </c>
      <c r="C13" s="61">
        <f>(3659.02+(3659.02*88.14%/12))*1.3</f>
        <v>5106.1075247000008</v>
      </c>
      <c r="D13" s="61">
        <f>(3795.52+(3795.52*88.14%/12))*1.3</f>
        <v>5296.5912272000005</v>
      </c>
      <c r="E13" s="61">
        <f>(3925.58+(3925.58*88.14%/12))*1.3</f>
        <v>5478.0880063000004</v>
      </c>
      <c r="F13" s="61">
        <f>(4069.31+(4069.31*88.14%/12))*1.3</f>
        <v>5678.6610653500002</v>
      </c>
      <c r="G13" s="61">
        <f>(4158.27+(4158.27*88.14%/12))*1.3</f>
        <v>5802.8034109500004</v>
      </c>
      <c r="H13" s="49">
        <v>0.88139999999999996</v>
      </c>
    </row>
    <row r="14" spans="1:13" ht="14.5" x14ac:dyDescent="0.35">
      <c r="A14" s="43" t="s">
        <v>61</v>
      </c>
      <c r="B14" s="61">
        <f>(3235.83+(3235.83*88.14%/12))*1.3</f>
        <v>4515.5522275499998</v>
      </c>
      <c r="C14" s="61">
        <f>(3469.72+(3469.72*88.14%/12))*1.3</f>
        <v>4841.9422142000003</v>
      </c>
      <c r="D14" s="61">
        <f>(3645.69+(3645.69*88.14%/12))*1.3</f>
        <v>5087.5057096500004</v>
      </c>
      <c r="E14" s="61">
        <f>(3781.85+(3781.85*88.14%/12))*1.3</f>
        <v>5277.5149472499998</v>
      </c>
      <c r="F14" s="61">
        <f>(3891.36+(3891.36*88.14%/12))*1.3</f>
        <v>5430.3345096000003</v>
      </c>
      <c r="G14" s="61">
        <f>(3987.16+(3987.16*88.14%/12))*1.3</f>
        <v>5564.0219725999996</v>
      </c>
      <c r="H14" s="49">
        <v>0.88139999999999996</v>
      </c>
    </row>
    <row r="15" spans="1:13" ht="14.5" x14ac:dyDescent="0.35">
      <c r="A15" s="43" t="s">
        <v>62</v>
      </c>
      <c r="B15" s="61">
        <f>(3186.57+(3186.57*88.14%/12))*1.3</f>
        <v>4446.8106364500009</v>
      </c>
      <c r="C15" s="61">
        <f>(3418.08+(3418.08*88.14%/12))*1.3</f>
        <v>4769.8793688000005</v>
      </c>
      <c r="D15" s="61">
        <f>(3547.2+(3547.2*88.14%/12))*1.3</f>
        <v>4950.0643919999993</v>
      </c>
      <c r="E15" s="61">
        <f>(3679.2+(3679.2*88.14%/12))*1.3</f>
        <v>5134.2684119999994</v>
      </c>
      <c r="F15" s="61">
        <f>(3768.15+(3768.15*88.14%/12))*1.3</f>
        <v>5258.3968027500005</v>
      </c>
      <c r="G15" s="61">
        <f>(3863.96+(3863.96*88.14%/12))*1.3</f>
        <v>5392.0982205999999</v>
      </c>
      <c r="H15" s="49">
        <v>0.88139999999999996</v>
      </c>
    </row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vb7Om0dCC7b8SqzQ8Ul9f6eHKi2NHGchAsxx0m5D7TQn4aa/8255ElvDpuvtIxhjdfEPeV0d52X7AGEowYkfng==" saltValue="++D1HA0PpMkVfRLKaDVZ9g==" spinCount="100000" sheet="1" objects="1" scenarios="1"/>
  <mergeCells count="2">
    <mergeCell ref="A1:G1"/>
    <mergeCell ref="J7:J8"/>
  </mergeCells>
  <pageMargins left="0.7" right="0.7" top="0.78740157499999996" bottom="0.78740157499999996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E1E1D-0130-433C-AEDD-EDAEA1DD6A64}">
  <dimension ref="A1:M1000"/>
  <sheetViews>
    <sheetView workbookViewId="0">
      <selection activeCell="G15" sqref="G15"/>
    </sheetView>
  </sheetViews>
  <sheetFormatPr baseColWidth="10" defaultColWidth="14.453125" defaultRowHeight="15" customHeight="1" x14ac:dyDescent="0.35"/>
  <cols>
    <col min="1" max="26" width="10.7265625" customWidth="1"/>
  </cols>
  <sheetData>
    <row r="1" spans="1:13" ht="45" customHeight="1" x14ac:dyDescent="0.35">
      <c r="A1" s="157" t="s">
        <v>208</v>
      </c>
      <c r="B1" s="114"/>
      <c r="C1" s="114"/>
      <c r="D1" s="114"/>
      <c r="E1" s="114"/>
      <c r="F1" s="114"/>
      <c r="G1" s="115"/>
      <c r="H1" s="38" t="s">
        <v>43</v>
      </c>
      <c r="I1" s="39"/>
      <c r="J1" s="39"/>
      <c r="K1" s="39"/>
      <c r="L1" s="40"/>
    </row>
    <row r="2" spans="1:13" ht="14.5" x14ac:dyDescent="0.35">
      <c r="A2" s="41" t="s">
        <v>44</v>
      </c>
      <c r="B2" s="42">
        <v>1</v>
      </c>
      <c r="C2" s="42">
        <v>2</v>
      </c>
      <c r="D2" s="42">
        <v>3</v>
      </c>
      <c r="E2" s="42">
        <v>4</v>
      </c>
      <c r="F2" s="42">
        <v>5</v>
      </c>
      <c r="G2" s="42">
        <v>6</v>
      </c>
      <c r="I2" s="38"/>
      <c r="J2" s="39"/>
      <c r="K2" s="39"/>
      <c r="L2" s="39"/>
      <c r="M2" s="39"/>
    </row>
    <row r="3" spans="1:13" ht="14.5" x14ac:dyDescent="0.35">
      <c r="A3" s="43" t="s">
        <v>64</v>
      </c>
      <c r="B3" s="61">
        <f>(6994.28+(6994.28*32.53%/12))*1.3</f>
        <v>9339.0482557666674</v>
      </c>
      <c r="C3" s="61">
        <f>(7739.08+(7739.08*32.53%/12))*1.3</f>
        <v>10333.535628433334</v>
      </c>
      <c r="D3" s="61">
        <f>(8445.94+(8445.94*32.53%/12))*1.3</f>
        <v>11277.363963883336</v>
      </c>
      <c r="E3" s="61">
        <f>(8909.53+(8909.53*32.53%/12))*1.3</f>
        <v>11896.368261808335</v>
      </c>
      <c r="F3" s="61">
        <f>(9023.57+(9023.57*32.53%/12))*1.3</f>
        <v>12048.639126441667</v>
      </c>
      <c r="G3" s="62">
        <v>0</v>
      </c>
      <c r="H3" s="49">
        <v>0.32529999999999998</v>
      </c>
      <c r="I3" s="41"/>
      <c r="J3" s="41">
        <v>2018</v>
      </c>
      <c r="K3" s="41">
        <v>2019</v>
      </c>
      <c r="L3" s="41">
        <v>2020</v>
      </c>
      <c r="M3" s="38">
        <v>2022</v>
      </c>
    </row>
    <row r="4" spans="1:13" ht="29" x14ac:dyDescent="0.35">
      <c r="A4" s="43" t="s">
        <v>65</v>
      </c>
      <c r="B4" s="61">
        <f>(5771.55+(5771.55*32.53%/12))*1.3</f>
        <v>7706.4092316250008</v>
      </c>
      <c r="C4" s="61">
        <f>(6188.65+(6188.65*32.53%/12))*1.3</f>
        <v>8263.3381832083342</v>
      </c>
      <c r="D4" s="61">
        <f>(6409.05+(6409.05*32.53%/12))*1.3</f>
        <v>8557.6252628750008</v>
      </c>
      <c r="E4" s="61">
        <f>(7191.91+(7191.91*32.53%/12))*1.3</f>
        <v>9602.931901658334</v>
      </c>
      <c r="F4" s="61">
        <f>(7784.71+(7784.71*32.53%/12))*1.3</f>
        <v>10394.462667658334</v>
      </c>
      <c r="G4" s="61">
        <f>(8011.61+(8011.61*32.53%/12))*1.3</f>
        <v>10697.428812741668</v>
      </c>
      <c r="H4" s="49">
        <v>0.32529999999999998</v>
      </c>
      <c r="I4" s="41" t="s">
        <v>47</v>
      </c>
      <c r="J4" s="47">
        <v>0.35</v>
      </c>
      <c r="K4" s="46">
        <v>0.33979999999999999</v>
      </c>
      <c r="L4" s="46">
        <v>0.32950000000000002</v>
      </c>
      <c r="M4" s="63">
        <v>0.32529999999999998</v>
      </c>
    </row>
    <row r="5" spans="1:13" ht="29" x14ac:dyDescent="0.35">
      <c r="A5" s="43" t="s">
        <v>66</v>
      </c>
      <c r="B5" s="61">
        <f>(5246.46+(5246.46*32.53%/12))*1.3</f>
        <v>7005.2876224500005</v>
      </c>
      <c r="C5" s="61">
        <f>(5626.22+(5626.22*32.53%/12))*1.3</f>
        <v>7512.3586813166676</v>
      </c>
      <c r="D5" s="61">
        <f>(5937.84+(5937.84*32.53%/12))*1.3</f>
        <v>7928.4464298000003</v>
      </c>
      <c r="E5" s="61">
        <f>(6409.05+(6409.05*32.53%/12))*1.3</f>
        <v>8557.6252628750008</v>
      </c>
      <c r="F5" s="61">
        <f>(7131.05+(7131.05*32.53%/12))*1.3</f>
        <v>9521.6691445416673</v>
      </c>
      <c r="G5" s="61">
        <f>(7338.37+(7338.37*32.53%/12))*1.3</f>
        <v>9798.4912741083335</v>
      </c>
      <c r="H5" s="49">
        <v>0.32529999999999998</v>
      </c>
      <c r="I5" s="41" t="s">
        <v>49</v>
      </c>
      <c r="J5" s="47">
        <v>0.5</v>
      </c>
      <c r="K5" s="46">
        <v>0.4854</v>
      </c>
      <c r="L5" s="46">
        <v>0.47070000000000001</v>
      </c>
      <c r="M5" s="63">
        <v>0.4647</v>
      </c>
    </row>
    <row r="6" spans="1:13" ht="29" x14ac:dyDescent="0.35">
      <c r="A6" s="43" t="s">
        <v>67</v>
      </c>
      <c r="B6" s="62"/>
      <c r="C6" s="61">
        <f>(5208.21+(5208.21*32.53%/12))*1.3</f>
        <v>6954.2146605750004</v>
      </c>
      <c r="D6" s="61">
        <f>(5474.23+(5474.23*32.53%/12))*1.3</f>
        <v>7309.4154270583322</v>
      </c>
      <c r="E6" s="61">
        <f>(6409.05+(6409.05*32.53%/12))*1.3</f>
        <v>8557.6252628750008</v>
      </c>
      <c r="F6" s="61">
        <f>(7131.05+(7131.05*32.53%/12))*1.3</f>
        <v>9521.6691445416673</v>
      </c>
      <c r="G6" s="61">
        <f>(7338.37+(7338.37*32.53%/12))*1.3</f>
        <v>9798.4912741083335</v>
      </c>
      <c r="H6" s="49">
        <v>0.32529999999999998</v>
      </c>
      <c r="I6" s="41" t="s">
        <v>51</v>
      </c>
      <c r="J6" s="47">
        <v>0.8</v>
      </c>
      <c r="K6" s="46">
        <v>0.77659999999999996</v>
      </c>
      <c r="L6" s="46">
        <v>0.75309999999999999</v>
      </c>
      <c r="M6" s="63">
        <v>0.74350000000000005</v>
      </c>
    </row>
    <row r="7" spans="1:13" ht="14.5" x14ac:dyDescent="0.35">
      <c r="A7" s="43" t="s">
        <v>68</v>
      </c>
      <c r="B7" s="61">
        <f>(4854.56+(4854.56*46.47%/12))*1.3</f>
        <v>6555.3186868000012</v>
      </c>
      <c r="C7" s="61">
        <f>(5208.21+(5208.21*46.47%/12))*1.3</f>
        <v>7032.8673119249997</v>
      </c>
      <c r="D7" s="61">
        <f>(5474.23+(5474.23*46.47%/12))*1.3</f>
        <v>7392.0854237749991</v>
      </c>
      <c r="E7" s="61">
        <f>(5991.03+(5991.03*46.47%/12))*1.3</f>
        <v>8089.9424277750004</v>
      </c>
      <c r="F7" s="61">
        <f>(6705.45+(6705.45*46.47%/12))*1.3</f>
        <v>9054.654116624999</v>
      </c>
      <c r="G7" s="61">
        <f>(6899.98+(6899.98*46.47%/12))*1.3</f>
        <v>9317.3362431499991</v>
      </c>
      <c r="H7" s="49">
        <v>0.4647</v>
      </c>
      <c r="I7" s="41" t="s">
        <v>53</v>
      </c>
      <c r="J7" s="158">
        <v>0.95</v>
      </c>
      <c r="K7" s="46">
        <v>0.92190000000000005</v>
      </c>
      <c r="L7" s="46">
        <v>0.89400000000000002</v>
      </c>
      <c r="M7" s="63">
        <v>0.88139999999999996</v>
      </c>
    </row>
    <row r="8" spans="1:13" ht="14.5" x14ac:dyDescent="0.35">
      <c r="A8" s="43" t="s">
        <v>69</v>
      </c>
      <c r="B8" s="61">
        <f>(4397.12+(4397.12*46.47%/12))*1.3</f>
        <v>5937.6180136000003</v>
      </c>
      <c r="C8" s="61">
        <f>(4691.4+(4691.4*46.47%/12))*1.3</f>
        <v>6334.9968044999996</v>
      </c>
      <c r="D8" s="61">
        <f>(5314.62+(5314.62*46.47%/12))*1.3</f>
        <v>7176.5572573500003</v>
      </c>
      <c r="E8" s="61">
        <f>(5861.84+(5861.84*46.47%/12))*1.3</f>
        <v>7915.4916802000007</v>
      </c>
      <c r="F8" s="61">
        <f>(6568.65+(6568.65*46.47%/12))*1.3</f>
        <v>8869.9272626250004</v>
      </c>
      <c r="G8" s="61">
        <f>(6759.07+(6759.07*46.47%/12))*1.3</f>
        <v>9127.0594814750002</v>
      </c>
      <c r="H8" s="49">
        <v>0.4647</v>
      </c>
      <c r="I8" s="41" t="s">
        <v>55</v>
      </c>
      <c r="J8" s="99"/>
      <c r="K8" s="46">
        <v>0.91690000000000005</v>
      </c>
      <c r="L8" s="46">
        <v>0.8891</v>
      </c>
      <c r="M8" s="63">
        <v>0.87429999999999997</v>
      </c>
    </row>
    <row r="9" spans="1:13" ht="14.5" x14ac:dyDescent="0.35">
      <c r="A9" s="43" t="s">
        <v>70</v>
      </c>
      <c r="B9" s="61">
        <f>(4261.92+(4261.92*74.35%/12))*1.3</f>
        <v>5883.7758979999999</v>
      </c>
      <c r="C9" s="61">
        <f>(4533.76+(4533.76*74.35%/12))*1.3</f>
        <v>6259.063477333334</v>
      </c>
      <c r="D9" s="61">
        <f>(4843.4+(4843.4*74.35%/12))*1.3</f>
        <v>6686.5356891666661</v>
      </c>
      <c r="E9" s="61">
        <f>(5314.62+(5314.62*74.35%/12))*1.3</f>
        <v>7337.0764967499999</v>
      </c>
      <c r="F9" s="61">
        <f>(5998.64+(5998.64*74.35%/12))*1.3</f>
        <v>8281.3974576666678</v>
      </c>
      <c r="G9" s="61">
        <f>(6171.97+(6171.97*74.35%/12))*1.3</f>
        <v>8520.687466958334</v>
      </c>
      <c r="H9" s="49">
        <v>0.74350000000000005</v>
      </c>
    </row>
    <row r="10" spans="1:13" ht="14.5" x14ac:dyDescent="0.35">
      <c r="A10" s="43" t="s">
        <v>71</v>
      </c>
      <c r="B10" s="61">
        <f>(4119.19+(4119.19*74.35%/12))*1.3</f>
        <v>5686.730591208333</v>
      </c>
      <c r="C10" s="61">
        <f>(4385.95+(4385.95*74.35%/12))*1.3</f>
        <v>6055.0049977083327</v>
      </c>
      <c r="D10" s="61">
        <f>(4691.4+(4691.4*74.35%/12))*1.3</f>
        <v>6476.6927224999999</v>
      </c>
      <c r="E10" s="61">
        <f>(5002.99+(5002.99*74.35%/12))*1.3</f>
        <v>6906.8569987083329</v>
      </c>
      <c r="F10" s="61">
        <f>(5595.85+(5595.85*74.35%/12))*1.3</f>
        <v>7725.327401458334</v>
      </c>
      <c r="G10" s="61">
        <f>(5757.08+(5757.08*74.35%/12))*1.3</f>
        <v>7947.912806166667</v>
      </c>
      <c r="H10" s="49">
        <v>0.74350000000000005</v>
      </c>
    </row>
    <row r="11" spans="1:13" ht="14.5" x14ac:dyDescent="0.35">
      <c r="A11" s="43" t="s">
        <v>72</v>
      </c>
      <c r="B11" s="61">
        <f>(3692.5+(3692.5*74.35%/12))*1.3</f>
        <v>5097.6654895833335</v>
      </c>
      <c r="C11" s="61">
        <f>(3948.23+(3948.23*74.35%/12))*1.3</f>
        <v>5450.7124755416671</v>
      </c>
      <c r="D11" s="61">
        <f>(4115.77+(4115.77*74.35%/12))*1.3</f>
        <v>5682.0091244583346</v>
      </c>
      <c r="E11" s="61">
        <f>(4578.77+(4578.77*74.35%/12))*1.3</f>
        <v>6321.2018452916673</v>
      </c>
      <c r="F11" s="61">
        <f>(4972.6+(4972.6*74.35%/12))*1.3</f>
        <v>6864.9022108333338</v>
      </c>
      <c r="G11" s="61">
        <f>(5115.17+(5115.17*74.35%/12))*1.3</f>
        <v>7061.726630291666</v>
      </c>
      <c r="H11" s="49">
        <v>0.74350000000000005</v>
      </c>
    </row>
    <row r="12" spans="1:13" ht="14.5" x14ac:dyDescent="0.35">
      <c r="A12" s="43" t="s">
        <v>73</v>
      </c>
      <c r="B12" s="61">
        <f>(3692.5+(3692.5*74.35%/12))*1.3</f>
        <v>5097.6654895833335</v>
      </c>
      <c r="C12" s="61">
        <f>(3948.23+(3948.23*74.35%/12))*1.2</f>
        <v>5031.4269004999996</v>
      </c>
      <c r="D12" s="61">
        <f>(4004.09+(4004.09*74.35%/12))*1.3</f>
        <v>5527.8297657916664</v>
      </c>
      <c r="E12" s="61">
        <f>(4115.77+(4115.77*74.35%/12))*1.3</f>
        <v>5682.0091244583346</v>
      </c>
      <c r="F12" s="61">
        <f>(4578.77+(4578.77*74.35%/12))*1.3</f>
        <v>6321.2018452916673</v>
      </c>
      <c r="G12" s="61">
        <f>(4708.08+(4708.08*74.35%/12))*1.3</f>
        <v>6499.7202269999998</v>
      </c>
      <c r="H12" s="49">
        <v>0.74350000000000005</v>
      </c>
    </row>
    <row r="13" spans="1:13" ht="14.5" x14ac:dyDescent="0.35">
      <c r="A13" s="43" t="s">
        <v>60</v>
      </c>
      <c r="B13" s="61">
        <f>(3487.91+(3487.91*88.14%/12))*1.3</f>
        <v>4867.32608635</v>
      </c>
      <c r="C13" s="61">
        <f>(3732.2+(3732.2*88.14%/12))*1.3</f>
        <v>5208.2291169999999</v>
      </c>
      <c r="D13" s="61">
        <f>(3871.43+(3871.43*88.14%/12))*1.3</f>
        <v>5402.52249355</v>
      </c>
      <c r="E13" s="61">
        <f>(4004.09+(4004.09*88.14%/12))*1.3</f>
        <v>5587.6475336500007</v>
      </c>
      <c r="F13" s="61">
        <f>(4150.7+(4150.7*88.14%/12))*1.3</f>
        <v>5792.2395895</v>
      </c>
      <c r="G13" s="61">
        <f>(4241.44+(4241.44*88.14%/12))*1.3</f>
        <v>5918.8658984000003</v>
      </c>
      <c r="H13" s="49">
        <v>0.88139999999999996</v>
      </c>
    </row>
    <row r="14" spans="1:13" ht="14.5" x14ac:dyDescent="0.35">
      <c r="A14" s="43" t="s">
        <v>61</v>
      </c>
      <c r="B14" s="61">
        <f>(3300.55+(3300.55*88.14%/12))*1.3</f>
        <v>4605.8680167500006</v>
      </c>
      <c r="C14" s="61">
        <f>(3539.11+(3539.11*88.14%/12))*1.3</f>
        <v>4938.77491835</v>
      </c>
      <c r="D14" s="61">
        <f>(3718.6+(3718.6*88.14%/12))*1.3</f>
        <v>5189.2505209999999</v>
      </c>
      <c r="E14" s="61">
        <f>(3857.49+(3857.49*88.14%/12))*1.3</f>
        <v>5383.0694326499997</v>
      </c>
      <c r="F14" s="61">
        <f>(3969.19+(3969.19*88.14%/12))*1.3</f>
        <v>5538.9451071499998</v>
      </c>
      <c r="G14" s="61">
        <f>(4066.9+(4066.9*88.14%/12))*1.3</f>
        <v>5675.2979464999999</v>
      </c>
      <c r="H14" s="49">
        <v>0.88139999999999996</v>
      </c>
    </row>
    <row r="15" spans="1:13" ht="14.5" x14ac:dyDescent="0.35">
      <c r="A15" s="43" t="s">
        <v>62</v>
      </c>
      <c r="B15" s="61">
        <f>(3250.3+(3250.3*88.14%/12))*1.3</f>
        <v>4535.7448955000009</v>
      </c>
      <c r="C15" s="61">
        <f>(3486.44+(3486.44*88.14%/12))*1.3</f>
        <v>4865.2747233999999</v>
      </c>
      <c r="D15" s="61">
        <f>(3618.14+(3618.14*88.14%/12))*1.3</f>
        <v>5049.0600979000001</v>
      </c>
      <c r="E15" s="61">
        <f>(3752.78+(3752.78*88.14%/12))*1.3</f>
        <v>5236.9481983000005</v>
      </c>
      <c r="F15" s="61">
        <f>(3843.51+(3843.51*88.14%/12))*1.3</f>
        <v>5363.5605523499999</v>
      </c>
      <c r="G15" s="61">
        <f>(3941.24+(3941.24*88.14%/12))*1.3</f>
        <v>5499.9413013999992</v>
      </c>
      <c r="H15" s="49">
        <v>0.88139999999999996</v>
      </c>
    </row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j9LWbvmERbGq0zEQ8v2YSih2DrXAf3rijE9DvCH9djeCLfucKTDDQMEN/kYl7HCMKZugxvCOU/brArZg+Wq0YQ==" saltValue="hRYB371PmzPHswCqb8VdoQ==" spinCount="100000" sheet="1" objects="1" scenarios="1"/>
  <mergeCells count="2">
    <mergeCell ref="A1:G1"/>
    <mergeCell ref="J7:J8"/>
  </mergeCells>
  <pageMargins left="0.7" right="0.7" top="0.78740157499999996" bottom="0.78740157499999996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6040C-4ECD-4BFD-A347-2304644A5AF3}">
  <dimension ref="A1:M1000"/>
  <sheetViews>
    <sheetView workbookViewId="0">
      <selection activeCell="G5" sqref="G5"/>
    </sheetView>
  </sheetViews>
  <sheetFormatPr baseColWidth="10" defaultColWidth="14.453125" defaultRowHeight="15" customHeight="1" x14ac:dyDescent="0.35"/>
  <cols>
    <col min="1" max="26" width="10.7265625" customWidth="1"/>
  </cols>
  <sheetData>
    <row r="1" spans="1:13" ht="45" customHeight="1" x14ac:dyDescent="0.35">
      <c r="A1" s="157" t="s">
        <v>254</v>
      </c>
      <c r="B1" s="114"/>
      <c r="C1" s="114"/>
      <c r="D1" s="114"/>
      <c r="E1" s="114"/>
      <c r="F1" s="114"/>
      <c r="G1" s="115"/>
      <c r="H1" s="38" t="s">
        <v>43</v>
      </c>
      <c r="I1" s="39"/>
      <c r="J1" s="39"/>
      <c r="K1" s="39"/>
      <c r="L1" s="40"/>
    </row>
    <row r="2" spans="1:13" ht="14.5" x14ac:dyDescent="0.35">
      <c r="A2" s="41" t="s">
        <v>44</v>
      </c>
      <c r="B2" s="42">
        <v>1</v>
      </c>
      <c r="C2" s="42">
        <v>2</v>
      </c>
      <c r="D2" s="42">
        <v>3</v>
      </c>
      <c r="E2" s="42">
        <v>4</v>
      </c>
      <c r="F2" s="42">
        <v>5</v>
      </c>
      <c r="G2" s="42">
        <v>6</v>
      </c>
      <c r="I2" s="38"/>
      <c r="J2" s="39"/>
      <c r="K2" s="39"/>
      <c r="L2" s="39"/>
      <c r="M2" s="39"/>
    </row>
    <row r="3" spans="1:13" ht="14.5" x14ac:dyDescent="0.35">
      <c r="A3" s="43" t="s">
        <v>64</v>
      </c>
      <c r="B3" s="61">
        <f>(7064.22+(7064.22*32.53%/12))*1.3</f>
        <v>9432.4349996500005</v>
      </c>
      <c r="C3" s="61">
        <f>(7816.47+(7816.47*32.53%/12))*1.3</f>
        <v>10436.869916525</v>
      </c>
      <c r="D3" s="61">
        <f>(8530.4+(8530.4*32.53%/12))*1.3</f>
        <v>11390.138404666666</v>
      </c>
      <c r="E3" s="61">
        <f>(8998.63+(8998.63*32.53%/12))*1.3</f>
        <v>12015.338220058333</v>
      </c>
      <c r="F3" s="61">
        <f>(9113.81+(9113.81*32.53%/12))*1.3</f>
        <v>12169.131259241665</v>
      </c>
      <c r="G3" s="62">
        <v>0</v>
      </c>
      <c r="H3" s="49">
        <v>0.32529999999999998</v>
      </c>
      <c r="I3" s="41"/>
      <c r="J3" s="41">
        <v>2018</v>
      </c>
      <c r="K3" s="41">
        <v>2019</v>
      </c>
      <c r="L3" s="41">
        <v>2020</v>
      </c>
      <c r="M3" s="38">
        <v>2022</v>
      </c>
    </row>
    <row r="4" spans="1:13" ht="29" x14ac:dyDescent="0.35">
      <c r="A4" s="43" t="s">
        <v>65</v>
      </c>
      <c r="B4" s="61">
        <f>(5829.27+(5829.27*32.53%/12))*1.3</f>
        <v>7783.4793325250012</v>
      </c>
      <c r="C4" s="61">
        <f>(6250.54+(6250.54*32.53%/12))*1.3</f>
        <v>8345.9762383833349</v>
      </c>
      <c r="D4" s="61">
        <f>(6473.14+(6473.14*32.53%/12))*1.3</f>
        <v>8643.2008478833341</v>
      </c>
      <c r="E4" s="61">
        <f>(7263.83+(7263.83*32.53%/12))*1.3</f>
        <v>9698.9624223916671</v>
      </c>
      <c r="F4" s="61">
        <f>(7862.56+(7862.56*32.53%/12))*1.3</f>
        <v>10498.411166533335</v>
      </c>
      <c r="G4" s="61">
        <f>(8091.73+(8091.73*32.53%/12))*1.3</f>
        <v>10804.408308308333</v>
      </c>
      <c r="H4" s="49">
        <v>0.32529999999999998</v>
      </c>
      <c r="I4" s="41" t="s">
        <v>47</v>
      </c>
      <c r="J4" s="47">
        <v>0.35</v>
      </c>
      <c r="K4" s="46">
        <v>0.33979999999999999</v>
      </c>
      <c r="L4" s="46">
        <v>0.32950000000000002</v>
      </c>
      <c r="M4" s="63">
        <v>0.32529999999999998</v>
      </c>
    </row>
    <row r="5" spans="1:13" ht="29" x14ac:dyDescent="0.35">
      <c r="A5" s="43" t="s">
        <v>66</v>
      </c>
      <c r="B5" s="61">
        <f>(5298.92+(5298.92*32.53%/12))*1.3</f>
        <v>7075.3343565666673</v>
      </c>
      <c r="C5" s="61">
        <f>(5682.48+(5682.48*32.53%/12))*1.3</f>
        <v>7587.4793305999992</v>
      </c>
      <c r="D5" s="61">
        <f>(5997.22+(5997.22*32.53%/12))*1.3</f>
        <v>8007.733030483334</v>
      </c>
      <c r="E5" s="61">
        <f>(6473.14+(6473.14*32.53%/12))*1.3</f>
        <v>8643.2008478833341</v>
      </c>
      <c r="F5" s="61">
        <f>(7202.36+(7202.36*32.53%/12))*1.3</f>
        <v>9616.8851683666653</v>
      </c>
      <c r="G5" s="61">
        <f>(7411.75+(7411.75*32.53%/12))*1.3</f>
        <v>9896.4712464583336</v>
      </c>
      <c r="H5" s="49">
        <v>0.32529999999999998</v>
      </c>
      <c r="I5" s="41" t="s">
        <v>49</v>
      </c>
      <c r="J5" s="47">
        <v>0.5</v>
      </c>
      <c r="K5" s="46">
        <v>0.4854</v>
      </c>
      <c r="L5" s="46">
        <v>0.47070000000000001</v>
      </c>
      <c r="M5" s="63">
        <v>0.4647</v>
      </c>
    </row>
    <row r="6" spans="1:13" ht="29" x14ac:dyDescent="0.35">
      <c r="A6" s="43" t="s">
        <v>67</v>
      </c>
      <c r="B6" s="62"/>
      <c r="C6" s="61">
        <f>(5260.29+(5260.29*32.53%/12))*1.3</f>
        <v>7023.7540031750004</v>
      </c>
      <c r="D6" s="61">
        <f>(5528.97+(5528.97*32.53%/12))*1.3</f>
        <v>7382.5065102750004</v>
      </c>
      <c r="E6" s="61">
        <f>(6473.14+(6473.14*32.53%/12))*1.3</f>
        <v>8643.2008478833341</v>
      </c>
      <c r="F6" s="61">
        <f>(7202.36+(7202.36*32.53%/12))*1.3</f>
        <v>9616.8851683666653</v>
      </c>
      <c r="G6" s="61">
        <f>(7411.75+(7411.75*32.53%/12))*1.3</f>
        <v>9896.4712464583336</v>
      </c>
      <c r="H6" s="49">
        <v>0.32529999999999998</v>
      </c>
      <c r="I6" s="41" t="s">
        <v>51</v>
      </c>
      <c r="J6" s="47">
        <v>0.8</v>
      </c>
      <c r="K6" s="46">
        <v>0.77659999999999996</v>
      </c>
      <c r="L6" s="46">
        <v>0.75309999999999999</v>
      </c>
      <c r="M6" s="63">
        <v>0.74350000000000005</v>
      </c>
    </row>
    <row r="7" spans="1:13" ht="14.5" x14ac:dyDescent="0.35">
      <c r="A7" s="43" t="s">
        <v>68</v>
      </c>
      <c r="B7" s="61">
        <f>(4903.11+(4903.11*46.47%/12))*1.3</f>
        <v>6620.8778151750003</v>
      </c>
      <c r="C7" s="61">
        <f>(5260.29+(5260.29*46.47%/12))*1.3</f>
        <v>7103.1931493250004</v>
      </c>
      <c r="D7" s="61">
        <f>(5528.97+(5528.97*46.47%/12))*1.3</f>
        <v>7466.0031722250005</v>
      </c>
      <c r="E7" s="61">
        <f>(6050.94+(6050.94*46.47%/12))*1.3</f>
        <v>8170.8414469499994</v>
      </c>
      <c r="F7" s="61">
        <f>(6772.5+(6772.5*46.47%/12))*1.3</f>
        <v>9145.1945812499998</v>
      </c>
      <c r="G7" s="61">
        <f>(6968.98+(6968.98*46.47%/12))*1.3</f>
        <v>9410.5098756499992</v>
      </c>
      <c r="H7" s="49">
        <v>0.4647</v>
      </c>
      <c r="I7" s="41" t="s">
        <v>53</v>
      </c>
      <c r="J7" s="158">
        <v>0.95</v>
      </c>
      <c r="K7" s="46">
        <v>0.92190000000000005</v>
      </c>
      <c r="L7" s="46">
        <v>0.89400000000000002</v>
      </c>
      <c r="M7" s="63">
        <v>0.88139999999999996</v>
      </c>
    </row>
    <row r="8" spans="1:13" ht="14.5" x14ac:dyDescent="0.35">
      <c r="A8" s="43" t="s">
        <v>69</v>
      </c>
      <c r="B8" s="61">
        <f>(4441.09+(4441.09*46.47%/12))*1.3</f>
        <v>5996.9925733250002</v>
      </c>
      <c r="C8" s="61">
        <f>(4738.31+(4738.31*46.47%/12))*1.3</f>
        <v>6398.3413711750009</v>
      </c>
      <c r="D8" s="61">
        <f>(5367.77+(5367.77*46.47%/12))*1.3</f>
        <v>7248.3279612250017</v>
      </c>
      <c r="E8" s="61">
        <f>(5920.46+(5920.46*46.47%/12))*1.3</f>
        <v>7994.6487575500005</v>
      </c>
      <c r="F8" s="61">
        <f>(6634.34+(6634.34*46.47%/12))*1.3</f>
        <v>8958.6312614500002</v>
      </c>
      <c r="G8" s="61">
        <f>(6826.66+(6826.66*46.47%/12))*1.3</f>
        <v>9218.3291310500008</v>
      </c>
      <c r="H8" s="49">
        <v>0.4647</v>
      </c>
      <c r="I8" s="41" t="s">
        <v>55</v>
      </c>
      <c r="J8" s="99"/>
      <c r="K8" s="46">
        <v>0.91690000000000005</v>
      </c>
      <c r="L8" s="46">
        <v>0.8891</v>
      </c>
      <c r="M8" s="63">
        <v>0.87429999999999997</v>
      </c>
    </row>
    <row r="9" spans="1:13" ht="14.5" x14ac:dyDescent="0.35">
      <c r="A9" s="43" t="s">
        <v>70</v>
      </c>
      <c r="B9" s="61">
        <f>(4304.54+(4304.54*74.35%/12))*1.3</f>
        <v>5942.6147614166675</v>
      </c>
      <c r="C9" s="61">
        <f>(4579.1+(4579.1*74.35%/12))*1.3</f>
        <v>6321.6574254166671</v>
      </c>
      <c r="D9" s="61">
        <f>(4891.83+(4891.83*74.35%/12))*1.3</f>
        <v>6753.3955238749995</v>
      </c>
      <c r="E9" s="61">
        <f>(5367.77+(5367.77*74.35%/12))*1.3</f>
        <v>7410.4525077916678</v>
      </c>
      <c r="F9" s="61">
        <f>(6058.63+(6058.63*74.35%/12))*1.3</f>
        <v>8364.2164022083343</v>
      </c>
      <c r="G9" s="61">
        <f>(6233.69+(6233.69*74.35%/12))*1.3</f>
        <v>8605.8947557916672</v>
      </c>
      <c r="H9" s="49">
        <v>0.74350000000000005</v>
      </c>
    </row>
    <row r="10" spans="1:13" ht="14.5" x14ac:dyDescent="0.35">
      <c r="A10" s="43" t="s">
        <v>71</v>
      </c>
      <c r="B10" s="61">
        <f>(4160.38+(4160.38*74.35%/12))*1.3</f>
        <v>5743.5952740833336</v>
      </c>
      <c r="C10" s="61">
        <f>(4429.81+(4429.81*74.35%/12))*1.3</f>
        <v>6115.5557379583333</v>
      </c>
      <c r="D10" s="61">
        <f>(4738.31+(4738.31*74.35%/12))*1.3</f>
        <v>6541.4541275416677</v>
      </c>
      <c r="E10" s="61">
        <f>(5053.02+(5053.02*74.35%/12))*1.3</f>
        <v>6975.9257067500002</v>
      </c>
      <c r="F10" s="61">
        <f>(5651.81+(5651.81*74.35%/12))*1.3</f>
        <v>7802.5827462916677</v>
      </c>
      <c r="G10" s="61">
        <f>(5814.65+(5814.65*74.35%/12))*1.3</f>
        <v>8027.3908297916669</v>
      </c>
      <c r="H10" s="49">
        <v>0.74350000000000005</v>
      </c>
    </row>
    <row r="11" spans="1:13" ht="14.5" x14ac:dyDescent="0.35">
      <c r="A11" s="43" t="s">
        <v>72</v>
      </c>
      <c r="B11" s="61">
        <f>(3729.43+(3729.43*74.35%/12))*1.3</f>
        <v>5148.6490472083333</v>
      </c>
      <c r="C11" s="61">
        <f>(3987.71+(3987.71*74.35%/12))*1.3</f>
        <v>5505.2164250416672</v>
      </c>
      <c r="D11" s="61">
        <f>(4156.93+(4156.93*74.35%/12))*1.3</f>
        <v>5738.8323909583332</v>
      </c>
      <c r="E11" s="61">
        <f>(4624.56+(4624.56*74.35%/12))*1.3</f>
        <v>6384.4170390000008</v>
      </c>
      <c r="F11" s="61">
        <f>(5022.33+(5022.33*74.35%/12))*1.3</f>
        <v>6933.5567551250006</v>
      </c>
      <c r="G11" s="61">
        <f>(5166.32+(5166.32*74.35%/12))*1.3</f>
        <v>7132.3415496666667</v>
      </c>
      <c r="H11" s="49">
        <v>0.74350000000000005</v>
      </c>
    </row>
    <row r="12" spans="1:13" ht="14.5" x14ac:dyDescent="0.35">
      <c r="A12" s="43" t="s">
        <v>73</v>
      </c>
      <c r="B12" s="61">
        <f>(3729.43+(3729.43*74.35%/12))*1.3</f>
        <v>5148.6490472083333</v>
      </c>
      <c r="C12" s="61">
        <f>(3987.71+(3987.71*74.35%/12))*1.2</f>
        <v>5081.7382385000001</v>
      </c>
      <c r="D12" s="61">
        <f>(4044.13+(4044.13*74.35%/12))*1.3</f>
        <v>5583.1068209583345</v>
      </c>
      <c r="E12" s="61">
        <f>(4156.93+(4156.93*74.35%/12))*1.3</f>
        <v>5738.8323909583332</v>
      </c>
      <c r="F12" s="61">
        <f>(4624.56+(4624.56*74.35%/12))*1.3</f>
        <v>6384.4170390000008</v>
      </c>
      <c r="G12" s="61">
        <f>(4755.16+(4755.16*74.35%/12))*1.3</f>
        <v>6564.7163248333327</v>
      </c>
      <c r="H12" s="49">
        <v>0.74350000000000005</v>
      </c>
    </row>
    <row r="13" spans="1:13" ht="14.5" x14ac:dyDescent="0.35">
      <c r="A13" s="43" t="s">
        <v>60</v>
      </c>
      <c r="B13" s="61">
        <f>(3522.79+(3522.79*88.14%/12))*1.3</f>
        <v>4916.0006031499997</v>
      </c>
      <c r="C13" s="61">
        <f>(3769.52+(3769.52*88.14%/12))*1.3</f>
        <v>5260.3086172000003</v>
      </c>
      <c r="D13" s="61">
        <f>(3910.14+(3910.14*88.14%/12))*1.3</f>
        <v>5456.5417178999996</v>
      </c>
      <c r="E13" s="61">
        <f>(4044.13+(4044.13*88.14%/12))*1.3</f>
        <v>5643.5227530500006</v>
      </c>
      <c r="F13" s="61">
        <f>(4192.21+(4192.21*88.14%/12))*1.3</f>
        <v>5850.1661718500009</v>
      </c>
      <c r="G13" s="61">
        <f>(4283.85+(4283.85*88.14%/12))*1.3</f>
        <v>5978.048417250001</v>
      </c>
      <c r="H13" s="49">
        <v>0.88139999999999996</v>
      </c>
    </row>
    <row r="14" spans="1:13" ht="14.5" x14ac:dyDescent="0.35">
      <c r="A14" s="43" t="s">
        <v>61</v>
      </c>
      <c r="B14" s="61">
        <f>(3333.56+(3333.56*88.14%/12))*1.3</f>
        <v>4651.9329766000001</v>
      </c>
      <c r="C14" s="61">
        <f>(3574.5+(3574.5*88.14%/12))*1.3</f>
        <v>4988.1611325000003</v>
      </c>
      <c r="D14" s="61">
        <f>(3755.79+(3755.79*88.14%/12))*1.3</f>
        <v>5241.1486081499997</v>
      </c>
      <c r="E14" s="61">
        <f>(3896.06+(3896.06*88.14%/12))*1.3</f>
        <v>5436.8932891000004</v>
      </c>
      <c r="F14" s="61">
        <f>(4008.88+(4008.88*88.14%/12))*1.3</f>
        <v>5594.3319068000001</v>
      </c>
      <c r="G14" s="61">
        <f>(4107.57+(4107.57*88.14%/12))*1.3</f>
        <v>5732.0523214499999</v>
      </c>
      <c r="H14" s="49">
        <v>0.88139999999999996</v>
      </c>
    </row>
    <row r="15" spans="1:13" ht="14.5" x14ac:dyDescent="0.35">
      <c r="A15" s="43" t="s">
        <v>62</v>
      </c>
      <c r="B15" s="61">
        <f>(3282.8+(3282.8*88.14%/12))*1.3</f>
        <v>4581.0981579999998</v>
      </c>
      <c r="C15" s="61">
        <f>(3521.3+(3521.3*88.14%/12))*1.3</f>
        <v>4913.9213305000003</v>
      </c>
      <c r="D15" s="61">
        <f>(3654.32+(3654.32*88.14%/12))*1.3</f>
        <v>5099.5487452000007</v>
      </c>
      <c r="E15" s="61">
        <f>(3790.31+(3790.31*88.14%/12))*1.3</f>
        <v>5289.3207503499998</v>
      </c>
      <c r="F15" s="61">
        <f>(3881.95+(3881.95*88.14%/12))*1.3</f>
        <v>5417.2029957499999</v>
      </c>
      <c r="G15" s="61">
        <f>(3980.65+(3980.65*88.14%/12))*1.3</f>
        <v>5554.9373652499999</v>
      </c>
      <c r="H15" s="49">
        <v>0.88139999999999996</v>
      </c>
    </row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uoaXZoBptYwU9l3AjJlpPmgUIJZ1sFpZ1z7zePfFHc3uJWxsis5syAj4xf7HSg/Mn8wTG/QLM6ed72XS/W9Yog==" saltValue="kHjJvqIDdJzhb5XfwQgeQw==" spinCount="100000" sheet="1" objects="1" scenarios="1"/>
  <mergeCells count="2">
    <mergeCell ref="A1:G1"/>
    <mergeCell ref="J7:J8"/>
  </mergeCells>
  <pageMargins left="0.7" right="0.7" top="0.78740157499999996" bottom="0.78740157499999996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000"/>
  <sheetViews>
    <sheetView workbookViewId="0">
      <selection activeCell="B23" sqref="B23"/>
    </sheetView>
  </sheetViews>
  <sheetFormatPr baseColWidth="10" defaultColWidth="14.453125" defaultRowHeight="15" customHeight="1" x14ac:dyDescent="0.35"/>
  <cols>
    <col min="1" max="1" width="15.453125" customWidth="1"/>
    <col min="2" max="2" width="7.453125" customWidth="1"/>
    <col min="3" max="3" width="10" customWidth="1"/>
    <col min="4" max="4" width="10.7265625" customWidth="1"/>
    <col min="5" max="5" width="15.453125" customWidth="1"/>
    <col min="6" max="26" width="10.7265625" customWidth="1"/>
  </cols>
  <sheetData>
    <row r="1" spans="1:9" ht="14.5" x14ac:dyDescent="0.35">
      <c r="D1" s="161" t="s">
        <v>197</v>
      </c>
      <c r="I1" s="64" t="s">
        <v>198</v>
      </c>
    </row>
    <row r="2" spans="1:9" ht="14.5" x14ac:dyDescent="0.35">
      <c r="A2" s="162" t="s">
        <v>204</v>
      </c>
      <c r="B2" s="83"/>
      <c r="C2" s="83"/>
      <c r="D2" s="102"/>
      <c r="E2" s="162" t="s">
        <v>203</v>
      </c>
      <c r="F2" s="83"/>
      <c r="G2" s="83"/>
    </row>
    <row r="3" spans="1:9" ht="30" customHeight="1" x14ac:dyDescent="0.35">
      <c r="A3" s="107" t="s">
        <v>199</v>
      </c>
      <c r="B3" s="65" t="s">
        <v>200</v>
      </c>
      <c r="C3" s="65" t="s">
        <v>75</v>
      </c>
      <c r="D3" s="66">
        <v>4.34</v>
      </c>
      <c r="E3" s="107" t="s">
        <v>199</v>
      </c>
      <c r="F3" s="65" t="s">
        <v>200</v>
      </c>
      <c r="G3" s="65" t="s">
        <v>75</v>
      </c>
    </row>
    <row r="4" spans="1:9" ht="14.5" x14ac:dyDescent="0.35">
      <c r="A4" s="99"/>
      <c r="B4" s="65">
        <v>15.41</v>
      </c>
      <c r="C4" s="65">
        <v>15.2</v>
      </c>
      <c r="E4" s="99"/>
      <c r="F4" s="67">
        <v>15.8</v>
      </c>
      <c r="G4" s="67">
        <v>15.9</v>
      </c>
      <c r="H4" s="68" t="s">
        <v>201</v>
      </c>
    </row>
    <row r="5" spans="1:9" ht="14.5" x14ac:dyDescent="0.35">
      <c r="A5" s="69">
        <v>1</v>
      </c>
      <c r="B5" s="70">
        <f t="shared" ref="B5:B43" si="0">ROUNDUP($B$4*$D$3*A5,0)</f>
        <v>67</v>
      </c>
      <c r="C5" s="70">
        <f t="shared" ref="C5:C43" si="1">ROUNDUP($C$4*$D$3*A5,0)</f>
        <v>66</v>
      </c>
      <c r="E5" s="69">
        <v>1</v>
      </c>
      <c r="F5" s="70">
        <f t="shared" ref="F5:F43" si="2">ROUNDUP($F$4*$D$3*E5,0)</f>
        <v>69</v>
      </c>
      <c r="G5" s="70">
        <f t="shared" ref="G5:G43" si="3">ROUNDUP($G$4*$D$3*E5,0)</f>
        <v>70</v>
      </c>
    </row>
    <row r="6" spans="1:9" ht="14.5" x14ac:dyDescent="0.35">
      <c r="A6" s="69">
        <v>1.5</v>
      </c>
      <c r="B6" s="70">
        <f t="shared" si="0"/>
        <v>101</v>
      </c>
      <c r="C6" s="70">
        <f t="shared" si="1"/>
        <v>99</v>
      </c>
      <c r="E6" s="69">
        <v>1.5</v>
      </c>
      <c r="F6" s="70">
        <f t="shared" si="2"/>
        <v>103</v>
      </c>
      <c r="G6" s="70">
        <f t="shared" si="3"/>
        <v>104</v>
      </c>
    </row>
    <row r="7" spans="1:9" ht="14.5" x14ac:dyDescent="0.35">
      <c r="A7" s="69">
        <v>2</v>
      </c>
      <c r="B7" s="70">
        <f t="shared" si="0"/>
        <v>134</v>
      </c>
      <c r="C7" s="70">
        <f t="shared" si="1"/>
        <v>132</v>
      </c>
      <c r="E7" s="69">
        <v>2</v>
      </c>
      <c r="F7" s="70">
        <f t="shared" si="2"/>
        <v>138</v>
      </c>
      <c r="G7" s="70">
        <f t="shared" si="3"/>
        <v>139</v>
      </c>
    </row>
    <row r="8" spans="1:9" ht="14.5" x14ac:dyDescent="0.35">
      <c r="A8" s="69">
        <v>2.5</v>
      </c>
      <c r="B8" s="70">
        <f t="shared" si="0"/>
        <v>168</v>
      </c>
      <c r="C8" s="70">
        <f t="shared" si="1"/>
        <v>165</v>
      </c>
      <c r="E8" s="69">
        <v>2.5</v>
      </c>
      <c r="F8" s="70">
        <f t="shared" si="2"/>
        <v>172</v>
      </c>
      <c r="G8" s="70">
        <f t="shared" si="3"/>
        <v>173</v>
      </c>
    </row>
    <row r="9" spans="1:9" ht="14.5" x14ac:dyDescent="0.35">
      <c r="A9" s="69">
        <v>3</v>
      </c>
      <c r="B9" s="70">
        <f t="shared" si="0"/>
        <v>201</v>
      </c>
      <c r="C9" s="70">
        <f t="shared" si="1"/>
        <v>198</v>
      </c>
      <c r="E9" s="69">
        <v>3</v>
      </c>
      <c r="F9" s="70">
        <f t="shared" si="2"/>
        <v>206</v>
      </c>
      <c r="G9" s="70">
        <f t="shared" si="3"/>
        <v>208</v>
      </c>
    </row>
    <row r="10" spans="1:9" ht="14.5" x14ac:dyDescent="0.35">
      <c r="A10" s="69">
        <v>3.5</v>
      </c>
      <c r="B10" s="70">
        <f t="shared" si="0"/>
        <v>235</v>
      </c>
      <c r="C10" s="70">
        <f t="shared" si="1"/>
        <v>231</v>
      </c>
      <c r="E10" s="69">
        <v>3.5</v>
      </c>
      <c r="F10" s="70">
        <f t="shared" si="2"/>
        <v>241</v>
      </c>
      <c r="G10" s="70">
        <f t="shared" si="3"/>
        <v>242</v>
      </c>
    </row>
    <row r="11" spans="1:9" ht="14.5" x14ac:dyDescent="0.35">
      <c r="A11" s="69">
        <v>4</v>
      </c>
      <c r="B11" s="70">
        <f t="shared" si="0"/>
        <v>268</v>
      </c>
      <c r="C11" s="70">
        <f t="shared" si="1"/>
        <v>264</v>
      </c>
      <c r="E11" s="69">
        <v>4</v>
      </c>
      <c r="F11" s="70">
        <f t="shared" si="2"/>
        <v>275</v>
      </c>
      <c r="G11" s="70">
        <f t="shared" si="3"/>
        <v>277</v>
      </c>
    </row>
    <row r="12" spans="1:9" ht="14.5" x14ac:dyDescent="0.35">
      <c r="A12" s="69">
        <v>4.5</v>
      </c>
      <c r="B12" s="70">
        <f t="shared" si="0"/>
        <v>301</v>
      </c>
      <c r="C12" s="70">
        <f t="shared" si="1"/>
        <v>297</v>
      </c>
      <c r="E12" s="69">
        <v>4.5</v>
      </c>
      <c r="F12" s="70">
        <f t="shared" si="2"/>
        <v>309</v>
      </c>
      <c r="G12" s="70">
        <f t="shared" si="3"/>
        <v>311</v>
      </c>
    </row>
    <row r="13" spans="1:9" ht="14.5" x14ac:dyDescent="0.35">
      <c r="A13" s="69">
        <v>5</v>
      </c>
      <c r="B13" s="70">
        <f t="shared" si="0"/>
        <v>335</v>
      </c>
      <c r="C13" s="70">
        <f t="shared" si="1"/>
        <v>330</v>
      </c>
      <c r="E13" s="69">
        <v>5</v>
      </c>
      <c r="F13" s="70">
        <f t="shared" si="2"/>
        <v>343</v>
      </c>
      <c r="G13" s="70">
        <f t="shared" si="3"/>
        <v>346</v>
      </c>
    </row>
    <row r="14" spans="1:9" ht="14.5" x14ac:dyDescent="0.35">
      <c r="A14" s="69">
        <v>5.5</v>
      </c>
      <c r="B14" s="70">
        <f t="shared" si="0"/>
        <v>368</v>
      </c>
      <c r="C14" s="70">
        <f t="shared" si="1"/>
        <v>363</v>
      </c>
      <c r="E14" s="69">
        <v>5.5</v>
      </c>
      <c r="F14" s="70">
        <f t="shared" si="2"/>
        <v>378</v>
      </c>
      <c r="G14" s="70">
        <f t="shared" si="3"/>
        <v>380</v>
      </c>
    </row>
    <row r="15" spans="1:9" ht="14.5" x14ac:dyDescent="0.35">
      <c r="A15" s="69">
        <v>6</v>
      </c>
      <c r="B15" s="70">
        <f t="shared" si="0"/>
        <v>402</v>
      </c>
      <c r="C15" s="70">
        <f t="shared" si="1"/>
        <v>396</v>
      </c>
      <c r="E15" s="69">
        <v>6</v>
      </c>
      <c r="F15" s="70">
        <f t="shared" si="2"/>
        <v>412</v>
      </c>
      <c r="G15" s="70">
        <f t="shared" si="3"/>
        <v>415</v>
      </c>
    </row>
    <row r="16" spans="1:9" ht="14.5" x14ac:dyDescent="0.35">
      <c r="A16" s="69">
        <v>6.5</v>
      </c>
      <c r="B16" s="70">
        <f>ROUNDUP($B$4*$D$3*A16,0)</f>
        <v>435</v>
      </c>
      <c r="C16" s="70">
        <f t="shared" si="1"/>
        <v>429</v>
      </c>
      <c r="E16" s="69">
        <v>6.5</v>
      </c>
      <c r="F16" s="70">
        <f t="shared" si="2"/>
        <v>446</v>
      </c>
      <c r="G16" s="70">
        <f t="shared" si="3"/>
        <v>449</v>
      </c>
    </row>
    <row r="17" spans="1:7" ht="14.5" x14ac:dyDescent="0.35">
      <c r="A17" s="69">
        <v>7</v>
      </c>
      <c r="B17" s="70">
        <f t="shared" si="0"/>
        <v>469</v>
      </c>
      <c r="C17" s="70">
        <f t="shared" si="1"/>
        <v>462</v>
      </c>
      <c r="E17" s="69">
        <v>7</v>
      </c>
      <c r="F17" s="70">
        <f t="shared" si="2"/>
        <v>481</v>
      </c>
      <c r="G17" s="70">
        <f t="shared" si="3"/>
        <v>484</v>
      </c>
    </row>
    <row r="18" spans="1:7" ht="14.5" x14ac:dyDescent="0.35">
      <c r="A18" s="69">
        <v>7.5</v>
      </c>
      <c r="B18" s="70">
        <f t="shared" si="0"/>
        <v>502</v>
      </c>
      <c r="C18" s="70">
        <f t="shared" si="1"/>
        <v>495</v>
      </c>
      <c r="E18" s="69">
        <v>7.5</v>
      </c>
      <c r="F18" s="70">
        <f t="shared" si="2"/>
        <v>515</v>
      </c>
      <c r="G18" s="70">
        <f t="shared" si="3"/>
        <v>518</v>
      </c>
    </row>
    <row r="19" spans="1:7" ht="14.5" x14ac:dyDescent="0.35">
      <c r="A19" s="69">
        <v>8</v>
      </c>
      <c r="B19" s="70">
        <f t="shared" si="0"/>
        <v>536</v>
      </c>
      <c r="C19" s="70">
        <f t="shared" si="1"/>
        <v>528</v>
      </c>
      <c r="E19" s="69">
        <v>8</v>
      </c>
      <c r="F19" s="70">
        <f t="shared" si="2"/>
        <v>549</v>
      </c>
      <c r="G19" s="70">
        <f t="shared" si="3"/>
        <v>553</v>
      </c>
    </row>
    <row r="20" spans="1:7" ht="14.5" x14ac:dyDescent="0.35">
      <c r="A20" s="69">
        <v>8.5</v>
      </c>
      <c r="B20" s="70">
        <f t="shared" si="0"/>
        <v>569</v>
      </c>
      <c r="C20" s="70">
        <f t="shared" si="1"/>
        <v>561</v>
      </c>
      <c r="E20" s="69">
        <v>8.5</v>
      </c>
      <c r="F20" s="70">
        <f t="shared" si="2"/>
        <v>583</v>
      </c>
      <c r="G20" s="70">
        <f t="shared" si="3"/>
        <v>587</v>
      </c>
    </row>
    <row r="21" spans="1:7" ht="15.75" customHeight="1" x14ac:dyDescent="0.35">
      <c r="A21" s="69">
        <v>9</v>
      </c>
      <c r="B21" s="70">
        <f t="shared" si="0"/>
        <v>602</v>
      </c>
      <c r="C21" s="70">
        <f t="shared" si="1"/>
        <v>594</v>
      </c>
      <c r="E21" s="69">
        <v>9</v>
      </c>
      <c r="F21" s="70">
        <f t="shared" si="2"/>
        <v>618</v>
      </c>
      <c r="G21" s="70">
        <f t="shared" si="3"/>
        <v>622</v>
      </c>
    </row>
    <row r="22" spans="1:7" ht="15.75" customHeight="1" x14ac:dyDescent="0.35">
      <c r="A22" s="69">
        <v>9.5</v>
      </c>
      <c r="B22" s="70">
        <f t="shared" si="0"/>
        <v>636</v>
      </c>
      <c r="C22" s="70">
        <f t="shared" si="1"/>
        <v>627</v>
      </c>
      <c r="E22" s="69">
        <v>9.5</v>
      </c>
      <c r="F22" s="70">
        <f t="shared" si="2"/>
        <v>652</v>
      </c>
      <c r="G22" s="70">
        <f t="shared" si="3"/>
        <v>656</v>
      </c>
    </row>
    <row r="23" spans="1:7" ht="15.75" customHeight="1" x14ac:dyDescent="0.35">
      <c r="A23" s="69">
        <v>10</v>
      </c>
      <c r="B23" s="70">
        <f t="shared" si="0"/>
        <v>669</v>
      </c>
      <c r="C23" s="70">
        <f t="shared" si="1"/>
        <v>660</v>
      </c>
      <c r="E23" s="69">
        <v>10</v>
      </c>
      <c r="F23" s="70">
        <f t="shared" si="2"/>
        <v>686</v>
      </c>
      <c r="G23" s="70">
        <f t="shared" si="3"/>
        <v>691</v>
      </c>
    </row>
    <row r="24" spans="1:7" ht="15.75" customHeight="1" x14ac:dyDescent="0.35">
      <c r="A24" s="69">
        <v>10.5</v>
      </c>
      <c r="B24" s="70">
        <f t="shared" si="0"/>
        <v>703</v>
      </c>
      <c r="C24" s="70">
        <f t="shared" si="1"/>
        <v>693</v>
      </c>
      <c r="E24" s="69">
        <v>10.5</v>
      </c>
      <c r="F24" s="70">
        <f t="shared" si="2"/>
        <v>721</v>
      </c>
      <c r="G24" s="70">
        <f t="shared" si="3"/>
        <v>725</v>
      </c>
    </row>
    <row r="25" spans="1:7" ht="15.75" customHeight="1" x14ac:dyDescent="0.35">
      <c r="A25" s="69">
        <v>11</v>
      </c>
      <c r="B25" s="70">
        <f t="shared" si="0"/>
        <v>736</v>
      </c>
      <c r="C25" s="70">
        <f t="shared" si="1"/>
        <v>726</v>
      </c>
      <c r="E25" s="69">
        <v>11</v>
      </c>
      <c r="F25" s="70">
        <f t="shared" si="2"/>
        <v>755</v>
      </c>
      <c r="G25" s="70">
        <f t="shared" si="3"/>
        <v>760</v>
      </c>
    </row>
    <row r="26" spans="1:7" ht="15.75" customHeight="1" x14ac:dyDescent="0.35">
      <c r="A26" s="69">
        <v>11.5</v>
      </c>
      <c r="B26" s="70">
        <f t="shared" si="0"/>
        <v>770</v>
      </c>
      <c r="C26" s="70">
        <f t="shared" si="1"/>
        <v>759</v>
      </c>
      <c r="E26" s="69">
        <v>11.5</v>
      </c>
      <c r="F26" s="70">
        <f t="shared" si="2"/>
        <v>789</v>
      </c>
      <c r="G26" s="70">
        <f t="shared" si="3"/>
        <v>794</v>
      </c>
    </row>
    <row r="27" spans="1:7" ht="15.75" customHeight="1" x14ac:dyDescent="0.35">
      <c r="A27" s="69">
        <v>12</v>
      </c>
      <c r="B27" s="70">
        <f t="shared" si="0"/>
        <v>803</v>
      </c>
      <c r="C27" s="70">
        <f t="shared" si="1"/>
        <v>792</v>
      </c>
      <c r="E27" s="69">
        <v>12</v>
      </c>
      <c r="F27" s="70">
        <f t="shared" si="2"/>
        <v>823</v>
      </c>
      <c r="G27" s="70">
        <f t="shared" si="3"/>
        <v>829</v>
      </c>
    </row>
    <row r="28" spans="1:7" ht="15.75" customHeight="1" x14ac:dyDescent="0.35">
      <c r="A28" s="69">
        <v>12.5</v>
      </c>
      <c r="B28" s="70">
        <f t="shared" si="0"/>
        <v>836</v>
      </c>
      <c r="C28" s="70">
        <f t="shared" si="1"/>
        <v>825</v>
      </c>
      <c r="E28" s="69">
        <v>12.5</v>
      </c>
      <c r="F28" s="70">
        <f t="shared" si="2"/>
        <v>858</v>
      </c>
      <c r="G28" s="70">
        <f t="shared" si="3"/>
        <v>863</v>
      </c>
    </row>
    <row r="29" spans="1:7" ht="15.75" customHeight="1" x14ac:dyDescent="0.35">
      <c r="A29" s="69">
        <v>13</v>
      </c>
      <c r="B29" s="70">
        <f t="shared" si="0"/>
        <v>870</v>
      </c>
      <c r="C29" s="70">
        <f t="shared" si="1"/>
        <v>858</v>
      </c>
      <c r="E29" s="69">
        <v>13</v>
      </c>
      <c r="F29" s="70">
        <f t="shared" si="2"/>
        <v>892</v>
      </c>
      <c r="G29" s="70">
        <f t="shared" si="3"/>
        <v>898</v>
      </c>
    </row>
    <row r="30" spans="1:7" ht="15.75" customHeight="1" x14ac:dyDescent="0.35">
      <c r="A30" s="69">
        <v>13.5</v>
      </c>
      <c r="B30" s="70">
        <f t="shared" si="0"/>
        <v>903</v>
      </c>
      <c r="C30" s="70">
        <f t="shared" si="1"/>
        <v>891</v>
      </c>
      <c r="E30" s="69">
        <v>13.5</v>
      </c>
      <c r="F30" s="70">
        <f t="shared" si="2"/>
        <v>926</v>
      </c>
      <c r="G30" s="70">
        <f t="shared" si="3"/>
        <v>932</v>
      </c>
    </row>
    <row r="31" spans="1:7" ht="15.75" customHeight="1" x14ac:dyDescent="0.35">
      <c r="A31" s="69">
        <v>14</v>
      </c>
      <c r="B31" s="70">
        <f t="shared" si="0"/>
        <v>937</v>
      </c>
      <c r="C31" s="70">
        <f t="shared" si="1"/>
        <v>924</v>
      </c>
      <c r="E31" s="69">
        <v>14</v>
      </c>
      <c r="F31" s="70">
        <f t="shared" si="2"/>
        <v>961</v>
      </c>
      <c r="G31" s="70">
        <f t="shared" si="3"/>
        <v>967</v>
      </c>
    </row>
    <row r="32" spans="1:7" ht="15.75" customHeight="1" x14ac:dyDescent="0.35">
      <c r="A32" s="69">
        <v>14.5</v>
      </c>
      <c r="B32" s="70">
        <f t="shared" si="0"/>
        <v>970</v>
      </c>
      <c r="C32" s="70">
        <f t="shared" si="1"/>
        <v>957</v>
      </c>
      <c r="E32" s="69">
        <v>14.5</v>
      </c>
      <c r="F32" s="70">
        <f t="shared" si="2"/>
        <v>995</v>
      </c>
      <c r="G32" s="70">
        <f t="shared" si="3"/>
        <v>1001</v>
      </c>
    </row>
    <row r="33" spans="1:7" ht="15.75" customHeight="1" x14ac:dyDescent="0.35">
      <c r="A33" s="69">
        <v>15</v>
      </c>
      <c r="B33" s="70">
        <f t="shared" si="0"/>
        <v>1004</v>
      </c>
      <c r="C33" s="70">
        <f t="shared" si="1"/>
        <v>990</v>
      </c>
      <c r="E33" s="69">
        <v>15</v>
      </c>
      <c r="F33" s="70">
        <f t="shared" si="2"/>
        <v>1029</v>
      </c>
      <c r="G33" s="70">
        <f t="shared" si="3"/>
        <v>1036</v>
      </c>
    </row>
    <row r="34" spans="1:7" ht="15.75" customHeight="1" x14ac:dyDescent="0.35">
      <c r="A34" s="69">
        <v>15.5</v>
      </c>
      <c r="B34" s="70">
        <f t="shared" si="0"/>
        <v>1037</v>
      </c>
      <c r="C34" s="70">
        <f t="shared" si="1"/>
        <v>1023</v>
      </c>
      <c r="E34" s="69">
        <v>15.5</v>
      </c>
      <c r="F34" s="70">
        <f t="shared" si="2"/>
        <v>1063</v>
      </c>
      <c r="G34" s="70">
        <f t="shared" si="3"/>
        <v>1070</v>
      </c>
    </row>
    <row r="35" spans="1:7" ht="15.75" customHeight="1" x14ac:dyDescent="0.35">
      <c r="A35" s="69">
        <v>16</v>
      </c>
      <c r="B35" s="70">
        <f t="shared" si="0"/>
        <v>1071</v>
      </c>
      <c r="C35" s="70">
        <f t="shared" si="1"/>
        <v>1056</v>
      </c>
      <c r="E35" s="69">
        <v>16</v>
      </c>
      <c r="F35" s="70">
        <f t="shared" si="2"/>
        <v>1098</v>
      </c>
      <c r="G35" s="70">
        <f t="shared" si="3"/>
        <v>1105</v>
      </c>
    </row>
    <row r="36" spans="1:7" ht="15.75" customHeight="1" x14ac:dyDescent="0.35">
      <c r="A36" s="69">
        <v>16.5</v>
      </c>
      <c r="B36" s="70">
        <f t="shared" si="0"/>
        <v>1104</v>
      </c>
      <c r="C36" s="70">
        <f t="shared" si="1"/>
        <v>1089</v>
      </c>
      <c r="E36" s="69">
        <v>16.5</v>
      </c>
      <c r="F36" s="70">
        <f t="shared" si="2"/>
        <v>1132</v>
      </c>
      <c r="G36" s="70">
        <f t="shared" si="3"/>
        <v>1139</v>
      </c>
    </row>
    <row r="37" spans="1:7" ht="15.75" customHeight="1" x14ac:dyDescent="0.35">
      <c r="A37" s="69">
        <v>17</v>
      </c>
      <c r="B37" s="70">
        <f t="shared" si="0"/>
        <v>1137</v>
      </c>
      <c r="C37" s="70">
        <f t="shared" si="1"/>
        <v>1122</v>
      </c>
      <c r="E37" s="69">
        <v>17</v>
      </c>
      <c r="F37" s="70">
        <f t="shared" si="2"/>
        <v>1166</v>
      </c>
      <c r="G37" s="70">
        <f t="shared" si="3"/>
        <v>1174</v>
      </c>
    </row>
    <row r="38" spans="1:7" ht="15.75" customHeight="1" x14ac:dyDescent="0.35">
      <c r="A38" s="69">
        <v>17.5</v>
      </c>
      <c r="B38" s="70">
        <f t="shared" si="0"/>
        <v>1171</v>
      </c>
      <c r="C38" s="70">
        <f t="shared" si="1"/>
        <v>1155</v>
      </c>
      <c r="E38" s="69">
        <v>17.5</v>
      </c>
      <c r="F38" s="70">
        <f t="shared" si="2"/>
        <v>1201</v>
      </c>
      <c r="G38" s="70">
        <f t="shared" si="3"/>
        <v>1208</v>
      </c>
    </row>
    <row r="39" spans="1:7" ht="15.75" customHeight="1" x14ac:dyDescent="0.35">
      <c r="A39" s="69">
        <v>18</v>
      </c>
      <c r="B39" s="70">
        <f t="shared" si="0"/>
        <v>1204</v>
      </c>
      <c r="C39" s="70">
        <f t="shared" si="1"/>
        <v>1188</v>
      </c>
      <c r="E39" s="69">
        <v>18</v>
      </c>
      <c r="F39" s="70">
        <f t="shared" si="2"/>
        <v>1235</v>
      </c>
      <c r="G39" s="70">
        <f t="shared" si="3"/>
        <v>1243</v>
      </c>
    </row>
    <row r="40" spans="1:7" ht="15.75" customHeight="1" x14ac:dyDescent="0.35">
      <c r="A40" s="69">
        <v>18.5</v>
      </c>
      <c r="B40" s="70">
        <f t="shared" si="0"/>
        <v>1238</v>
      </c>
      <c r="C40" s="70">
        <f t="shared" si="1"/>
        <v>1221</v>
      </c>
      <c r="E40" s="69">
        <v>18.5</v>
      </c>
      <c r="F40" s="70">
        <f t="shared" si="2"/>
        <v>1269</v>
      </c>
      <c r="G40" s="70">
        <f t="shared" si="3"/>
        <v>1277</v>
      </c>
    </row>
    <row r="41" spans="1:7" ht="15.75" customHeight="1" x14ac:dyDescent="0.35">
      <c r="A41" s="69">
        <v>19</v>
      </c>
      <c r="B41" s="70">
        <f t="shared" si="0"/>
        <v>1271</v>
      </c>
      <c r="C41" s="70">
        <f t="shared" si="1"/>
        <v>1254</v>
      </c>
      <c r="E41" s="69">
        <v>19</v>
      </c>
      <c r="F41" s="70">
        <f t="shared" si="2"/>
        <v>1303</v>
      </c>
      <c r="G41" s="70">
        <f t="shared" si="3"/>
        <v>1312</v>
      </c>
    </row>
    <row r="42" spans="1:7" ht="15.75" customHeight="1" x14ac:dyDescent="0.35">
      <c r="A42" s="69">
        <v>19.5</v>
      </c>
      <c r="B42" s="70">
        <f t="shared" si="0"/>
        <v>1305</v>
      </c>
      <c r="C42" s="70">
        <f t="shared" si="1"/>
        <v>1287</v>
      </c>
      <c r="E42" s="69">
        <v>19.5</v>
      </c>
      <c r="F42" s="70">
        <f t="shared" si="2"/>
        <v>1338</v>
      </c>
      <c r="G42" s="70">
        <f t="shared" si="3"/>
        <v>1346</v>
      </c>
    </row>
    <row r="43" spans="1:7" ht="15.75" customHeight="1" x14ac:dyDescent="0.35">
      <c r="A43" s="69">
        <v>20</v>
      </c>
      <c r="B43" s="70">
        <f t="shared" si="0"/>
        <v>1338</v>
      </c>
      <c r="C43" s="70">
        <f t="shared" si="1"/>
        <v>1320</v>
      </c>
      <c r="E43" s="69">
        <v>20</v>
      </c>
      <c r="F43" s="70">
        <f t="shared" si="2"/>
        <v>1372</v>
      </c>
      <c r="G43" s="70">
        <f t="shared" si="3"/>
        <v>1381</v>
      </c>
    </row>
    <row r="44" spans="1:7" ht="15.75" customHeight="1" x14ac:dyDescent="0.35"/>
    <row r="45" spans="1:7" ht="15.75" customHeight="1" x14ac:dyDescent="0.35"/>
    <row r="46" spans="1:7" ht="15.75" customHeight="1" x14ac:dyDescent="0.35"/>
    <row r="47" spans="1:7" ht="15.75" customHeight="1" x14ac:dyDescent="0.35"/>
    <row r="48" spans="1:7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sheetProtection algorithmName="SHA-512" hashValue="LpMqC6hmrGFFarcCcQw1ImiFUqoUqOxZeS7jOjBvCXRcMxNouDyO7y3dHB7Loq6MydE7uYRXMW5NmOcP2KnNdQ==" saltValue="ZX/DPVJ6vg+HJWfOfBeY8g==" spinCount="100000" sheet="1" objects="1" scenarios="1"/>
  <mergeCells count="5">
    <mergeCell ref="D1:D2"/>
    <mergeCell ref="A2:C2"/>
    <mergeCell ref="E2:G2"/>
    <mergeCell ref="A3:A4"/>
    <mergeCell ref="E3:E4"/>
  </mergeCells>
  <pageMargins left="0.7" right="0.7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Calculation</vt:lpstr>
      <vt:lpstr>Tabellengehälter</vt:lpstr>
      <vt:lpstr>Tabellengehälter_2025_1</vt:lpstr>
      <vt:lpstr>Example</vt:lpstr>
      <vt:lpstr>Stammdaten</vt:lpstr>
      <vt:lpstr>Tabellengehälter_2026</vt:lpstr>
      <vt:lpstr>Tabellengehälter_2027</vt:lpstr>
      <vt:lpstr>Tabellengehälter_2028</vt:lpstr>
      <vt:lpstr>Stundensätze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Ulrike Ehrhardt</dc:creator>
  <cp:lastModifiedBy>Annette Ohm</cp:lastModifiedBy>
  <dcterms:created xsi:type="dcterms:W3CDTF">2022-01-26T14:17:33Z</dcterms:created>
  <dcterms:modified xsi:type="dcterms:W3CDTF">2026-04-20T12:22:31Z</dcterms:modified>
</cp:coreProperties>
</file>